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9440" windowHeight="9735"/>
  </bookViews>
  <sheets>
    <sheet name="Свод ЛПУ" sheetId="1" r:id="rId1"/>
    <sheet name="Свод категории" sheetId="2" r:id="rId2"/>
  </sheets>
  <definedNames>
    <definedName name="_xlnm.Print_Titles" localSheetId="0">'Свод ЛПУ'!$A:$B,'Свод ЛПУ'!$2:$3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2"/>
  <c r="Q5"/>
  <c r="Q6"/>
  <c r="Q8"/>
  <c r="Q3"/>
  <c r="P4"/>
  <c r="P5"/>
  <c r="P6"/>
  <c r="P8"/>
  <c r="P3"/>
  <c r="N4"/>
  <c r="N5"/>
  <c r="N6"/>
  <c r="N8"/>
  <c r="N3"/>
  <c r="L4"/>
  <c r="L5"/>
  <c r="L6"/>
  <c r="L8"/>
  <c r="L3"/>
  <c r="J4"/>
  <c r="J5"/>
  <c r="J6"/>
  <c r="J8"/>
  <c r="J3"/>
  <c r="H4"/>
  <c r="H5"/>
  <c r="H6"/>
  <c r="H8"/>
  <c r="H3"/>
  <c r="F4"/>
  <c r="F5"/>
  <c r="F6"/>
  <c r="F8"/>
  <c r="F3"/>
  <c r="D4"/>
  <c r="D5"/>
  <c r="D6"/>
  <c r="D8"/>
  <c r="D3"/>
  <c r="CD5" i="1"/>
  <c r="CD6"/>
  <c r="CD7"/>
  <c r="CD8"/>
  <c r="CD9"/>
  <c r="CD10"/>
  <c r="CD11"/>
  <c r="CD12"/>
  <c r="CD13"/>
  <c r="CD14"/>
  <c r="CD15"/>
  <c r="CD16"/>
  <c r="CD17"/>
  <c r="CD18"/>
  <c r="CD19"/>
  <c r="CD20"/>
  <c r="CD21"/>
  <c r="CD22"/>
  <c r="CD23"/>
  <c r="CD24"/>
  <c r="CD25"/>
  <c r="CD26"/>
  <c r="CD27"/>
  <c r="CD28"/>
  <c r="CD29"/>
  <c r="CD30"/>
  <c r="CD31"/>
  <c r="CD32"/>
  <c r="CD33"/>
  <c r="CD34"/>
  <c r="CD35"/>
  <c r="CD36"/>
  <c r="CD37"/>
  <c r="CD38"/>
  <c r="CD39"/>
  <c r="CD40"/>
  <c r="CD41"/>
  <c r="CD42"/>
  <c r="CD43"/>
  <c r="CD44"/>
  <c r="CD45"/>
  <c r="CD46"/>
  <c r="CD47"/>
  <c r="CD48"/>
  <c r="CD49"/>
  <c r="CD50"/>
  <c r="CD51"/>
  <c r="CD52"/>
  <c r="CD53"/>
  <c r="CD54"/>
  <c r="CC6"/>
  <c r="CC7"/>
  <c r="CC8"/>
  <c r="CC9"/>
  <c r="CC10"/>
  <c r="CC11"/>
  <c r="CC12"/>
  <c r="CC13"/>
  <c r="CC14"/>
  <c r="CC15"/>
  <c r="CC16"/>
  <c r="CC17"/>
  <c r="CC18"/>
  <c r="CC19"/>
  <c r="CC20"/>
  <c r="CC21"/>
  <c r="CC22"/>
  <c r="CC23"/>
  <c r="CC24"/>
  <c r="CC25"/>
  <c r="CC26"/>
  <c r="CC27"/>
  <c r="CC28"/>
  <c r="CC29"/>
  <c r="CC30"/>
  <c r="CC31"/>
  <c r="CC32"/>
  <c r="CC33"/>
  <c r="CC34"/>
  <c r="CC35"/>
  <c r="CC36"/>
  <c r="CC37"/>
  <c r="CC38"/>
  <c r="CC39"/>
  <c r="CC40"/>
  <c r="CC41"/>
  <c r="CC42"/>
  <c r="CC43"/>
  <c r="CC44"/>
  <c r="CC45"/>
  <c r="CC46"/>
  <c r="CC47"/>
  <c r="CC48"/>
  <c r="CC49"/>
  <c r="CC50"/>
  <c r="CC51"/>
  <c r="CC52"/>
  <c r="CC53"/>
  <c r="CC54"/>
  <c r="CC5"/>
  <c r="CA6"/>
  <c r="CA7"/>
  <c r="CA8"/>
  <c r="CA9"/>
  <c r="CA10"/>
  <c r="CA11"/>
  <c r="CA12"/>
  <c r="CA13"/>
  <c r="CA14"/>
  <c r="CA15"/>
  <c r="CA16"/>
  <c r="CA17"/>
  <c r="CA18"/>
  <c r="CA19"/>
  <c r="CA20"/>
  <c r="CA21"/>
  <c r="CA22"/>
  <c r="CA23"/>
  <c r="CA24"/>
  <c r="CA25"/>
  <c r="CA26"/>
  <c r="CA27"/>
  <c r="CA28"/>
  <c r="CA29"/>
  <c r="CA30"/>
  <c r="CA31"/>
  <c r="CA32"/>
  <c r="CA33"/>
  <c r="CA34"/>
  <c r="CA35"/>
  <c r="CA36"/>
  <c r="CA37"/>
  <c r="CA38"/>
  <c r="CA39"/>
  <c r="CA40"/>
  <c r="CA41"/>
  <c r="CA42"/>
  <c r="CA43"/>
  <c r="CA44"/>
  <c r="CA45"/>
  <c r="CA46"/>
  <c r="CA47"/>
  <c r="CA48"/>
  <c r="CA49"/>
  <c r="CA50"/>
  <c r="CA51"/>
  <c r="CA52"/>
  <c r="CA53"/>
  <c r="CA54"/>
  <c r="CA5"/>
  <c r="BY6"/>
  <c r="BY7"/>
  <c r="BY8"/>
  <c r="BY9"/>
  <c r="BY10"/>
  <c r="BY11"/>
  <c r="BY12"/>
  <c r="BY13"/>
  <c r="BY14"/>
  <c r="BY15"/>
  <c r="BY16"/>
  <c r="BY17"/>
  <c r="BY18"/>
  <c r="BY19"/>
  <c r="BY20"/>
  <c r="BY21"/>
  <c r="BY22"/>
  <c r="BY23"/>
  <c r="BY24"/>
  <c r="BY25"/>
  <c r="BY26"/>
  <c r="BY27"/>
  <c r="BY28"/>
  <c r="BY29"/>
  <c r="BY30"/>
  <c r="BY31"/>
  <c r="BY32"/>
  <c r="BY33"/>
  <c r="BY34"/>
  <c r="BY35"/>
  <c r="BY36"/>
  <c r="BY37"/>
  <c r="BY38"/>
  <c r="BY39"/>
  <c r="BY40"/>
  <c r="BY41"/>
  <c r="BY42"/>
  <c r="BY43"/>
  <c r="BY44"/>
  <c r="BY45"/>
  <c r="BY46"/>
  <c r="BY47"/>
  <c r="BY48"/>
  <c r="BY49"/>
  <c r="BY50"/>
  <c r="BY51"/>
  <c r="BY52"/>
  <c r="BY53"/>
  <c r="BY54"/>
  <c r="BY5"/>
  <c r="BW6"/>
  <c r="BW7"/>
  <c r="BW8"/>
  <c r="BW9"/>
  <c r="BW10"/>
  <c r="BW11"/>
  <c r="BW12"/>
  <c r="BW13"/>
  <c r="BW14"/>
  <c r="BW15"/>
  <c r="BW16"/>
  <c r="BW17"/>
  <c r="BW18"/>
  <c r="BW19"/>
  <c r="BW20"/>
  <c r="BW21"/>
  <c r="BW22"/>
  <c r="BW23"/>
  <c r="BW24"/>
  <c r="BW25"/>
  <c r="BW26"/>
  <c r="BW27"/>
  <c r="BW28"/>
  <c r="BW29"/>
  <c r="BW30"/>
  <c r="BW31"/>
  <c r="BW32"/>
  <c r="BW33"/>
  <c r="BW34"/>
  <c r="BW35"/>
  <c r="BW36"/>
  <c r="BW37"/>
  <c r="BW38"/>
  <c r="BW39"/>
  <c r="BW40"/>
  <c r="BW41"/>
  <c r="BW42"/>
  <c r="BW43"/>
  <c r="BW44"/>
  <c r="BW45"/>
  <c r="BW46"/>
  <c r="BW47"/>
  <c r="BW48"/>
  <c r="BW49"/>
  <c r="BW50"/>
  <c r="BW51"/>
  <c r="BW52"/>
  <c r="BW53"/>
  <c r="BW54"/>
  <c r="BW5"/>
  <c r="BU6"/>
  <c r="BU7"/>
  <c r="BU8"/>
  <c r="BU9"/>
  <c r="BU10"/>
  <c r="BU11"/>
  <c r="BU12"/>
  <c r="BU13"/>
  <c r="BU14"/>
  <c r="BU15"/>
  <c r="BU16"/>
  <c r="BU17"/>
  <c r="BU18"/>
  <c r="BU19"/>
  <c r="BU20"/>
  <c r="BU21"/>
  <c r="BU22"/>
  <c r="BU23"/>
  <c r="BU24"/>
  <c r="BU25"/>
  <c r="BU26"/>
  <c r="BU27"/>
  <c r="BU28"/>
  <c r="BU29"/>
  <c r="BU30"/>
  <c r="BU31"/>
  <c r="BU32"/>
  <c r="BU33"/>
  <c r="BU34"/>
  <c r="BU35"/>
  <c r="BU36"/>
  <c r="BU37"/>
  <c r="BU38"/>
  <c r="BU39"/>
  <c r="BU40"/>
  <c r="BU41"/>
  <c r="BU42"/>
  <c r="BU43"/>
  <c r="BU44"/>
  <c r="BU45"/>
  <c r="BU46"/>
  <c r="BU47"/>
  <c r="BU48"/>
  <c r="BU49"/>
  <c r="BU50"/>
  <c r="BU51"/>
  <c r="BU52"/>
  <c r="BU53"/>
  <c r="BU54"/>
  <c r="BU5"/>
  <c r="BS49"/>
  <c r="BS50"/>
  <c r="BS51"/>
  <c r="BS52"/>
  <c r="BS53"/>
  <c r="BS54"/>
  <c r="BS6"/>
  <c r="BS7"/>
  <c r="BS8"/>
  <c r="BS9"/>
  <c r="BS10"/>
  <c r="BS11"/>
  <c r="BS12"/>
  <c r="BS13"/>
  <c r="BS14"/>
  <c r="BS15"/>
  <c r="BS16"/>
  <c r="BS17"/>
  <c r="BS18"/>
  <c r="BS19"/>
  <c r="BS20"/>
  <c r="BS21"/>
  <c r="BS22"/>
  <c r="BS23"/>
  <c r="BS24"/>
  <c r="BS25"/>
  <c r="BS26"/>
  <c r="BS27"/>
  <c r="BS28"/>
  <c r="BS29"/>
  <c r="BS30"/>
  <c r="BS31"/>
  <c r="BS32"/>
  <c r="BS33"/>
  <c r="BS34"/>
  <c r="BS35"/>
  <c r="BS36"/>
  <c r="BS37"/>
  <c r="BS38"/>
  <c r="BS39"/>
  <c r="BS40"/>
  <c r="BS41"/>
  <c r="BS42"/>
  <c r="BS43"/>
  <c r="BS44"/>
  <c r="BS45"/>
  <c r="BS46"/>
  <c r="BS47"/>
  <c r="BS48"/>
  <c r="BS5"/>
  <c r="BQ6"/>
  <c r="BQ7"/>
  <c r="BQ8"/>
  <c r="BQ9"/>
  <c r="BQ10"/>
  <c r="BQ11"/>
  <c r="BQ12"/>
  <c r="BQ13"/>
  <c r="BQ14"/>
  <c r="BQ15"/>
  <c r="BQ16"/>
  <c r="BQ17"/>
  <c r="BQ18"/>
  <c r="BQ19"/>
  <c r="BQ20"/>
  <c r="BQ21"/>
  <c r="BQ22"/>
  <c r="BQ23"/>
  <c r="BQ24"/>
  <c r="BQ25"/>
  <c r="BQ26"/>
  <c r="BQ27"/>
  <c r="BQ28"/>
  <c r="BQ29"/>
  <c r="BQ30"/>
  <c r="BQ31"/>
  <c r="BQ32"/>
  <c r="BQ33"/>
  <c r="BQ34"/>
  <c r="BQ35"/>
  <c r="BQ36"/>
  <c r="BQ37"/>
  <c r="BQ38"/>
  <c r="BQ39"/>
  <c r="BQ40"/>
  <c r="BQ41"/>
  <c r="BQ42"/>
  <c r="BQ43"/>
  <c r="BQ44"/>
  <c r="BQ45"/>
  <c r="BQ46"/>
  <c r="BQ47"/>
  <c r="BQ48"/>
  <c r="BQ49"/>
  <c r="BQ50"/>
  <c r="BQ51"/>
  <c r="BQ52"/>
  <c r="BQ53"/>
  <c r="BQ54"/>
  <c r="BQ5"/>
  <c r="BN58"/>
  <c r="BN59"/>
  <c r="BN60"/>
  <c r="BN61"/>
  <c r="BN62"/>
  <c r="BN63"/>
  <c r="BN64"/>
  <c r="BN65"/>
  <c r="BN66"/>
  <c r="BN67"/>
  <c r="BN68"/>
  <c r="BN71"/>
  <c r="BN72"/>
  <c r="BN5"/>
  <c r="BM58"/>
  <c r="BM59"/>
  <c r="BM60"/>
  <c r="BM61"/>
  <c r="BM62"/>
  <c r="BM63"/>
  <c r="BM64"/>
  <c r="BM65"/>
  <c r="BM66"/>
  <c r="BM67"/>
  <c r="BM68"/>
  <c r="BM71"/>
  <c r="BM72"/>
  <c r="BL5"/>
  <c r="BK71"/>
  <c r="BK72"/>
  <c r="BK58"/>
  <c r="BK59"/>
  <c r="BK60"/>
  <c r="BK61"/>
  <c r="BK62"/>
  <c r="BK63"/>
  <c r="BK64"/>
  <c r="BK65"/>
  <c r="BK66"/>
  <c r="BK67"/>
  <c r="BK68"/>
  <c r="BI6"/>
  <c r="BI7"/>
  <c r="BI8"/>
  <c r="BI9"/>
  <c r="BI10"/>
  <c r="BI11"/>
  <c r="BI12"/>
  <c r="BI13"/>
  <c r="BI14"/>
  <c r="BI15"/>
  <c r="BI16"/>
  <c r="BI17"/>
  <c r="BI18"/>
  <c r="BI19"/>
  <c r="BI20"/>
  <c r="BI21"/>
  <c r="BI22"/>
  <c r="BI23"/>
  <c r="BI24"/>
  <c r="BI25"/>
  <c r="BI26"/>
  <c r="BI27"/>
  <c r="BI28"/>
  <c r="BI29"/>
  <c r="BI30"/>
  <c r="BI31"/>
  <c r="BI32"/>
  <c r="BI33"/>
  <c r="BI34"/>
  <c r="BI35"/>
  <c r="BI36"/>
  <c r="BI37"/>
  <c r="BI38"/>
  <c r="BI39"/>
  <c r="BI40"/>
  <c r="BI41"/>
  <c r="BI42"/>
  <c r="BI43"/>
  <c r="BI44"/>
  <c r="BI45"/>
  <c r="BI46"/>
  <c r="BI47"/>
  <c r="BI48"/>
  <c r="BI49"/>
  <c r="BI50"/>
  <c r="BI51"/>
  <c r="BI52"/>
  <c r="BI53"/>
  <c r="BI54"/>
  <c r="BI55"/>
  <c r="BI56"/>
  <c r="BI57"/>
  <c r="BI58"/>
  <c r="BI59"/>
  <c r="BI60"/>
  <c r="BI61"/>
  <c r="BI62"/>
  <c r="BI63"/>
  <c r="BI64"/>
  <c r="BI65"/>
  <c r="BI66"/>
  <c r="BI67"/>
  <c r="BI68"/>
  <c r="BI69"/>
  <c r="BI70"/>
  <c r="BI71"/>
  <c r="BI72"/>
  <c r="BI5"/>
  <c r="BG6"/>
  <c r="BG7"/>
  <c r="BG8"/>
  <c r="BG9"/>
  <c r="BG10"/>
  <c r="BG11"/>
  <c r="BG12"/>
  <c r="BG13"/>
  <c r="BG14"/>
  <c r="BG15"/>
  <c r="BG16"/>
  <c r="BG17"/>
  <c r="BG18"/>
  <c r="BG19"/>
  <c r="BG20"/>
  <c r="BG21"/>
  <c r="BG22"/>
  <c r="BG23"/>
  <c r="BG24"/>
  <c r="BG25"/>
  <c r="BG26"/>
  <c r="BG27"/>
  <c r="BG28"/>
  <c r="BG29"/>
  <c r="BG30"/>
  <c r="BG31"/>
  <c r="BG32"/>
  <c r="BG33"/>
  <c r="BG34"/>
  <c r="BG35"/>
  <c r="BG36"/>
  <c r="BG37"/>
  <c r="BG38"/>
  <c r="BG39"/>
  <c r="BG40"/>
  <c r="BG41"/>
  <c r="BG42"/>
  <c r="BG43"/>
  <c r="BG44"/>
  <c r="BG45"/>
  <c r="BG46"/>
  <c r="BG47"/>
  <c r="BG48"/>
  <c r="BG49"/>
  <c r="BG50"/>
  <c r="BG51"/>
  <c r="BG52"/>
  <c r="BG53"/>
  <c r="BG54"/>
  <c r="BG55"/>
  <c r="BG56"/>
  <c r="BG57"/>
  <c r="BG58"/>
  <c r="BG59"/>
  <c r="BG60"/>
  <c r="BG61"/>
  <c r="BG62"/>
  <c r="BG63"/>
  <c r="BG64"/>
  <c r="BG65"/>
  <c r="BG66"/>
  <c r="BG67"/>
  <c r="BG68"/>
  <c r="BG69"/>
  <c r="BG70"/>
  <c r="BG71"/>
  <c r="BG72"/>
  <c r="BG5"/>
  <c r="BE6"/>
  <c r="BE7"/>
  <c r="BE8"/>
  <c r="BE9"/>
  <c r="BE10"/>
  <c r="BE11"/>
  <c r="BE12"/>
  <c r="BE13"/>
  <c r="BE14"/>
  <c r="BE15"/>
  <c r="BE16"/>
  <c r="BE17"/>
  <c r="BE18"/>
  <c r="BE19"/>
  <c r="BE20"/>
  <c r="BE21"/>
  <c r="BE22"/>
  <c r="BE23"/>
  <c r="BE24"/>
  <c r="BE25"/>
  <c r="BE26"/>
  <c r="BE27"/>
  <c r="BE28"/>
  <c r="BE29"/>
  <c r="BE30"/>
  <c r="BE31"/>
  <c r="BE32"/>
  <c r="BE33"/>
  <c r="BE34"/>
  <c r="BE35"/>
  <c r="BE36"/>
  <c r="BE37"/>
  <c r="BE38"/>
  <c r="BE39"/>
  <c r="BE40"/>
  <c r="BE41"/>
  <c r="BE42"/>
  <c r="BE43"/>
  <c r="BE44"/>
  <c r="BE45"/>
  <c r="BE46"/>
  <c r="BE47"/>
  <c r="BE48"/>
  <c r="BE49"/>
  <c r="BE50"/>
  <c r="BE51"/>
  <c r="BE52"/>
  <c r="BE53"/>
  <c r="BE54"/>
  <c r="BE55"/>
  <c r="BE56"/>
  <c r="BE57"/>
  <c r="BE58"/>
  <c r="BE59"/>
  <c r="BE60"/>
  <c r="BE61"/>
  <c r="BE62"/>
  <c r="BE63"/>
  <c r="BE64"/>
  <c r="BE65"/>
  <c r="BE66"/>
  <c r="BE67"/>
  <c r="BE68"/>
  <c r="BE69"/>
  <c r="BE70"/>
  <c r="BE71"/>
  <c r="BE72"/>
  <c r="BE5"/>
  <c r="BC6"/>
  <c r="BC7"/>
  <c r="BC8"/>
  <c r="BC9"/>
  <c r="BC10"/>
  <c r="BC11"/>
  <c r="BC12"/>
  <c r="BC13"/>
  <c r="BC14"/>
  <c r="BC15"/>
  <c r="BC16"/>
  <c r="BC17"/>
  <c r="BC18"/>
  <c r="BC19"/>
  <c r="BC20"/>
  <c r="BC21"/>
  <c r="BC22"/>
  <c r="BC23"/>
  <c r="BC24"/>
  <c r="BC25"/>
  <c r="BC26"/>
  <c r="BC27"/>
  <c r="BC28"/>
  <c r="BC29"/>
  <c r="BC30"/>
  <c r="BC31"/>
  <c r="BC32"/>
  <c r="BC33"/>
  <c r="BC34"/>
  <c r="BC35"/>
  <c r="BC36"/>
  <c r="BC37"/>
  <c r="BC38"/>
  <c r="BC39"/>
  <c r="BC40"/>
  <c r="BC41"/>
  <c r="BC42"/>
  <c r="BC43"/>
  <c r="BC44"/>
  <c r="BC45"/>
  <c r="BC46"/>
  <c r="BC47"/>
  <c r="BC48"/>
  <c r="BC49"/>
  <c r="BC50"/>
  <c r="BC51"/>
  <c r="BC52"/>
  <c r="BC53"/>
  <c r="BC54"/>
  <c r="BC55"/>
  <c r="BC56"/>
  <c r="BC57"/>
  <c r="BC58"/>
  <c r="BC59"/>
  <c r="BC60"/>
  <c r="BC61"/>
  <c r="BC62"/>
  <c r="BC63"/>
  <c r="BC64"/>
  <c r="BC65"/>
  <c r="BC66"/>
  <c r="BC67"/>
  <c r="BC68"/>
  <c r="BC69"/>
  <c r="BC70"/>
  <c r="BC71"/>
  <c r="BC72"/>
  <c r="BC5"/>
  <c r="BA6"/>
  <c r="BA7"/>
  <c r="BA8"/>
  <c r="BA9"/>
  <c r="BA10"/>
  <c r="BA11"/>
  <c r="BA12"/>
  <c r="BA13"/>
  <c r="BA14"/>
  <c r="BA15"/>
  <c r="BA16"/>
  <c r="BA17"/>
  <c r="BA18"/>
  <c r="BA19"/>
  <c r="BA20"/>
  <c r="BA21"/>
  <c r="BA22"/>
  <c r="BA23"/>
  <c r="BA24"/>
  <c r="BA25"/>
  <c r="BA26"/>
  <c r="BA27"/>
  <c r="BA28"/>
  <c r="BA29"/>
  <c r="BA30"/>
  <c r="BA31"/>
  <c r="BA32"/>
  <c r="BA33"/>
  <c r="BA34"/>
  <c r="BA35"/>
  <c r="BA36"/>
  <c r="BA37"/>
  <c r="BA38"/>
  <c r="BA39"/>
  <c r="BA40"/>
  <c r="BA41"/>
  <c r="BA42"/>
  <c r="BA43"/>
  <c r="BA44"/>
  <c r="BA45"/>
  <c r="BA46"/>
  <c r="BA47"/>
  <c r="BA48"/>
  <c r="BA49"/>
  <c r="BA50"/>
  <c r="BA51"/>
  <c r="BA52"/>
  <c r="BA53"/>
  <c r="BA54"/>
  <c r="BA55"/>
  <c r="BA56"/>
  <c r="BA57"/>
  <c r="BA58"/>
  <c r="BA59"/>
  <c r="BA60"/>
  <c r="BA61"/>
  <c r="BA62"/>
  <c r="BA63"/>
  <c r="BA64"/>
  <c r="BA65"/>
  <c r="BA66"/>
  <c r="BA67"/>
  <c r="BA68"/>
  <c r="BA69"/>
  <c r="BA70"/>
  <c r="BA71"/>
  <c r="BA72"/>
  <c r="BA5"/>
  <c r="AX6"/>
  <c r="AX7"/>
  <c r="AX8"/>
  <c r="AX9"/>
  <c r="AX10"/>
  <c r="AX11"/>
  <c r="AX12"/>
  <c r="AX13"/>
  <c r="AX14"/>
  <c r="AX15"/>
  <c r="AX16"/>
  <c r="AX17"/>
  <c r="AX18"/>
  <c r="AX19"/>
  <c r="AX20"/>
  <c r="AX21"/>
  <c r="AX22"/>
  <c r="AX23"/>
  <c r="AX24"/>
  <c r="AX25"/>
  <c r="AX26"/>
  <c r="AX27"/>
  <c r="AX28"/>
  <c r="AX29"/>
  <c r="AX30"/>
  <c r="AX31"/>
  <c r="AX32"/>
  <c r="AX33"/>
  <c r="AX34"/>
  <c r="AX35"/>
  <c r="AX36"/>
  <c r="AX37"/>
  <c r="AX38"/>
  <c r="AX39"/>
  <c r="AX40"/>
  <c r="AX41"/>
  <c r="AX42"/>
  <c r="AX43"/>
  <c r="AX44"/>
  <c r="AX45"/>
  <c r="AX46"/>
  <c r="AX47"/>
  <c r="AX48"/>
  <c r="AX49"/>
  <c r="AX50"/>
  <c r="AX51"/>
  <c r="AX52"/>
  <c r="AX53"/>
  <c r="AX54"/>
  <c r="AX55"/>
  <c r="AX56"/>
  <c r="AX57"/>
  <c r="AX58"/>
  <c r="AX59"/>
  <c r="AX60"/>
  <c r="AX61"/>
  <c r="AX62"/>
  <c r="AX63"/>
  <c r="AX64"/>
  <c r="AX65"/>
  <c r="AX66"/>
  <c r="AX67"/>
  <c r="AX68"/>
  <c r="AX69"/>
  <c r="AX70"/>
  <c r="AX71"/>
  <c r="AX72"/>
  <c r="AX5"/>
  <c r="AW6"/>
  <c r="AW7"/>
  <c r="AW8"/>
  <c r="AW9"/>
  <c r="AW10"/>
  <c r="AW11"/>
  <c r="AW12"/>
  <c r="AW13"/>
  <c r="AW14"/>
  <c r="AW15"/>
  <c r="AW16"/>
  <c r="AW17"/>
  <c r="AW18"/>
  <c r="AW19"/>
  <c r="AW20"/>
  <c r="AW21"/>
  <c r="AW22"/>
  <c r="AW23"/>
  <c r="AW24"/>
  <c r="AW25"/>
  <c r="AW26"/>
  <c r="AW27"/>
  <c r="AW28"/>
  <c r="AW29"/>
  <c r="AW30"/>
  <c r="AW31"/>
  <c r="AW32"/>
  <c r="AW33"/>
  <c r="AW34"/>
  <c r="AW35"/>
  <c r="AW36"/>
  <c r="AW37"/>
  <c r="AW38"/>
  <c r="AW39"/>
  <c r="AW40"/>
  <c r="AW41"/>
  <c r="AW42"/>
  <c r="AW43"/>
  <c r="AW44"/>
  <c r="AW45"/>
  <c r="AW46"/>
  <c r="AW47"/>
  <c r="AW48"/>
  <c r="AW49"/>
  <c r="AW50"/>
  <c r="AW51"/>
  <c r="AW52"/>
  <c r="AW53"/>
  <c r="AW54"/>
  <c r="AW55"/>
  <c r="AW56"/>
  <c r="AW57"/>
  <c r="AW58"/>
  <c r="AW59"/>
  <c r="AW60"/>
  <c r="AW61"/>
  <c r="AW62"/>
  <c r="AW63"/>
  <c r="AW64"/>
  <c r="AW65"/>
  <c r="AW66"/>
  <c r="AW67"/>
  <c r="AW68"/>
  <c r="AW69"/>
  <c r="AW70"/>
  <c r="AW71"/>
  <c r="AW72"/>
  <c r="AW5"/>
  <c r="AU6"/>
  <c r="AU7"/>
  <c r="AU8"/>
  <c r="AU9"/>
  <c r="AU10"/>
  <c r="AU11"/>
  <c r="AU12"/>
  <c r="AU13"/>
  <c r="AU14"/>
  <c r="AU15"/>
  <c r="AU16"/>
  <c r="AU17"/>
  <c r="AU18"/>
  <c r="AU19"/>
  <c r="AU20"/>
  <c r="AU21"/>
  <c r="AU22"/>
  <c r="AU23"/>
  <c r="AU24"/>
  <c r="AU25"/>
  <c r="AU26"/>
  <c r="AU27"/>
  <c r="AU28"/>
  <c r="AU29"/>
  <c r="AU30"/>
  <c r="AU31"/>
  <c r="AU32"/>
  <c r="AU33"/>
  <c r="AU34"/>
  <c r="AU35"/>
  <c r="AU36"/>
  <c r="AU37"/>
  <c r="AU38"/>
  <c r="AU39"/>
  <c r="AU40"/>
  <c r="AU41"/>
  <c r="AU42"/>
  <c r="AU43"/>
  <c r="AU44"/>
  <c r="AU45"/>
  <c r="AU46"/>
  <c r="AU47"/>
  <c r="AU48"/>
  <c r="AU49"/>
  <c r="AU50"/>
  <c r="AU51"/>
  <c r="AU52"/>
  <c r="AU53"/>
  <c r="AU54"/>
  <c r="AU55"/>
  <c r="AU56"/>
  <c r="AU57"/>
  <c r="AU58"/>
  <c r="AU59"/>
  <c r="AU60"/>
  <c r="AU61"/>
  <c r="AU62"/>
  <c r="AU63"/>
  <c r="AU64"/>
  <c r="AU65"/>
  <c r="AU66"/>
  <c r="AU67"/>
  <c r="AU68"/>
  <c r="AU69"/>
  <c r="AU70"/>
  <c r="AU71"/>
  <c r="AU72"/>
  <c r="AU5"/>
  <c r="AS6"/>
  <c r="AS7"/>
  <c r="AS8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43"/>
  <c r="AS44"/>
  <c r="AS45"/>
  <c r="AS46"/>
  <c r="AS47"/>
  <c r="AS48"/>
  <c r="AS49"/>
  <c r="AS50"/>
  <c r="AS51"/>
  <c r="AS52"/>
  <c r="AS53"/>
  <c r="AS54"/>
  <c r="AS55"/>
  <c r="AS56"/>
  <c r="AS57"/>
  <c r="AS58"/>
  <c r="AS59"/>
  <c r="AS60"/>
  <c r="AS61"/>
  <c r="AS62"/>
  <c r="AS63"/>
  <c r="AS64"/>
  <c r="AS65"/>
  <c r="AS66"/>
  <c r="AS67"/>
  <c r="AS68"/>
  <c r="AS69"/>
  <c r="AS70"/>
  <c r="AS71"/>
  <c r="AS72"/>
  <c r="AS5"/>
  <c r="AQ6"/>
  <c r="AQ7"/>
  <c r="AQ8"/>
  <c r="AQ9"/>
  <c r="AQ10"/>
  <c r="AQ11"/>
  <c r="AQ12"/>
  <c r="AQ13"/>
  <c r="AQ14"/>
  <c r="AQ15"/>
  <c r="AQ16"/>
  <c r="AQ17"/>
  <c r="AQ18"/>
  <c r="AQ19"/>
  <c r="AQ20"/>
  <c r="AQ21"/>
  <c r="AQ22"/>
  <c r="AQ23"/>
  <c r="AQ24"/>
  <c r="AQ25"/>
  <c r="AQ26"/>
  <c r="AQ27"/>
  <c r="AQ28"/>
  <c r="AQ29"/>
  <c r="AQ30"/>
  <c r="AQ31"/>
  <c r="AQ32"/>
  <c r="AQ33"/>
  <c r="AQ34"/>
  <c r="AQ35"/>
  <c r="AQ36"/>
  <c r="AQ37"/>
  <c r="AQ38"/>
  <c r="AQ39"/>
  <c r="AQ40"/>
  <c r="AQ41"/>
  <c r="AQ42"/>
  <c r="AQ43"/>
  <c r="AQ44"/>
  <c r="AQ45"/>
  <c r="AQ46"/>
  <c r="AQ47"/>
  <c r="AQ48"/>
  <c r="AQ49"/>
  <c r="AQ50"/>
  <c r="AQ51"/>
  <c r="AQ52"/>
  <c r="AQ53"/>
  <c r="AQ54"/>
  <c r="AQ55"/>
  <c r="AQ56"/>
  <c r="AQ57"/>
  <c r="AQ58"/>
  <c r="AQ59"/>
  <c r="AQ60"/>
  <c r="AQ61"/>
  <c r="AQ62"/>
  <c r="AQ63"/>
  <c r="AQ64"/>
  <c r="AQ65"/>
  <c r="AQ66"/>
  <c r="AQ67"/>
  <c r="AQ68"/>
  <c r="AQ69"/>
  <c r="AQ70"/>
  <c r="AQ71"/>
  <c r="AQ72"/>
  <c r="AQ5"/>
  <c r="AO6"/>
  <c r="AO7"/>
  <c r="AO8"/>
  <c r="AO9"/>
  <c r="AO10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29"/>
  <c r="AO30"/>
  <c r="AO31"/>
  <c r="AO32"/>
  <c r="AO33"/>
  <c r="AO34"/>
  <c r="AO35"/>
  <c r="AO36"/>
  <c r="AO37"/>
  <c r="AO38"/>
  <c r="AO39"/>
  <c r="AO40"/>
  <c r="AO41"/>
  <c r="AO42"/>
  <c r="AO43"/>
  <c r="AO44"/>
  <c r="AO45"/>
  <c r="AO46"/>
  <c r="AO47"/>
  <c r="AO48"/>
  <c r="AO49"/>
  <c r="AO50"/>
  <c r="AO51"/>
  <c r="AO52"/>
  <c r="AO53"/>
  <c r="AO54"/>
  <c r="AO55"/>
  <c r="AO56"/>
  <c r="AO57"/>
  <c r="AO58"/>
  <c r="AO59"/>
  <c r="AO60"/>
  <c r="AO61"/>
  <c r="AO62"/>
  <c r="AO63"/>
  <c r="AO64"/>
  <c r="AO65"/>
  <c r="AO66"/>
  <c r="AO67"/>
  <c r="AO68"/>
  <c r="AO69"/>
  <c r="AO70"/>
  <c r="AO71"/>
  <c r="AO72"/>
  <c r="AO5"/>
  <c r="AM6"/>
  <c r="AM7"/>
  <c r="AM8"/>
  <c r="AM9"/>
  <c r="AM10"/>
  <c r="AM11"/>
  <c r="AM12"/>
  <c r="AM13"/>
  <c r="AM14"/>
  <c r="AM15"/>
  <c r="AM16"/>
  <c r="AM17"/>
  <c r="AM18"/>
  <c r="AM19"/>
  <c r="AM20"/>
  <c r="AM21"/>
  <c r="AM22"/>
  <c r="AM23"/>
  <c r="AM24"/>
  <c r="AM25"/>
  <c r="AM26"/>
  <c r="AM27"/>
  <c r="AM28"/>
  <c r="AM29"/>
  <c r="AM30"/>
  <c r="AM31"/>
  <c r="AM32"/>
  <c r="AM33"/>
  <c r="AM34"/>
  <c r="AM35"/>
  <c r="AM36"/>
  <c r="AM37"/>
  <c r="AM38"/>
  <c r="AM39"/>
  <c r="AM40"/>
  <c r="AM41"/>
  <c r="AM42"/>
  <c r="AM43"/>
  <c r="AM44"/>
  <c r="AM45"/>
  <c r="AM46"/>
  <c r="AM47"/>
  <c r="AM48"/>
  <c r="AM49"/>
  <c r="AM50"/>
  <c r="AM51"/>
  <c r="AM52"/>
  <c r="AM53"/>
  <c r="AM54"/>
  <c r="AM55"/>
  <c r="AM56"/>
  <c r="AM57"/>
  <c r="AM58"/>
  <c r="AM59"/>
  <c r="AM60"/>
  <c r="AM61"/>
  <c r="AM62"/>
  <c r="AM63"/>
  <c r="AM64"/>
  <c r="AM65"/>
  <c r="AM66"/>
  <c r="AM67"/>
  <c r="AM68"/>
  <c r="AM69"/>
  <c r="AM70"/>
  <c r="AM71"/>
  <c r="AM72"/>
  <c r="AM5"/>
  <c r="AK6"/>
  <c r="AK7"/>
  <c r="AK8"/>
  <c r="AK9"/>
  <c r="AK10"/>
  <c r="AK11"/>
  <c r="AK12"/>
  <c r="AK13"/>
  <c r="AK14"/>
  <c r="AK15"/>
  <c r="AK16"/>
  <c r="AK17"/>
  <c r="AK18"/>
  <c r="AK19"/>
  <c r="AK20"/>
  <c r="AK21"/>
  <c r="AK22"/>
  <c r="AK23"/>
  <c r="AK24"/>
  <c r="AK25"/>
  <c r="AK26"/>
  <c r="AK27"/>
  <c r="AK28"/>
  <c r="AK29"/>
  <c r="AK30"/>
  <c r="AK31"/>
  <c r="AK32"/>
  <c r="AK33"/>
  <c r="AK34"/>
  <c r="AK35"/>
  <c r="AK36"/>
  <c r="AK37"/>
  <c r="AK38"/>
  <c r="AK39"/>
  <c r="AK40"/>
  <c r="AK41"/>
  <c r="AK42"/>
  <c r="AK43"/>
  <c r="AK44"/>
  <c r="AK45"/>
  <c r="AK46"/>
  <c r="AK47"/>
  <c r="AK48"/>
  <c r="AK49"/>
  <c r="AK50"/>
  <c r="AK51"/>
  <c r="AK52"/>
  <c r="AK53"/>
  <c r="AK54"/>
  <c r="AK55"/>
  <c r="AK56"/>
  <c r="AK57"/>
  <c r="AK58"/>
  <c r="AK59"/>
  <c r="AK60"/>
  <c r="AK61"/>
  <c r="AK62"/>
  <c r="AK63"/>
  <c r="AK64"/>
  <c r="AK65"/>
  <c r="AK66"/>
  <c r="AK67"/>
  <c r="AK68"/>
  <c r="AK69"/>
  <c r="AK70"/>
  <c r="AK71"/>
  <c r="AK72"/>
  <c r="AK5"/>
  <c r="AH6"/>
  <c r="AH7"/>
  <c r="AH8"/>
  <c r="AH9"/>
  <c r="AH10"/>
  <c r="AH11"/>
  <c r="AH12"/>
  <c r="AH13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54"/>
  <c r="AH55"/>
  <c r="AH56"/>
  <c r="AH57"/>
  <c r="AH58"/>
  <c r="AH59"/>
  <c r="AH60"/>
  <c r="AH61"/>
  <c r="AH62"/>
  <c r="AH63"/>
  <c r="AH64"/>
  <c r="AH65"/>
  <c r="AH66"/>
  <c r="AH67"/>
  <c r="AH68"/>
  <c r="AH69"/>
  <c r="AH70"/>
  <c r="AH71"/>
  <c r="AH72"/>
  <c r="AH5"/>
  <c r="AG72"/>
  <c r="AG6"/>
  <c r="AG7"/>
  <c r="AG8"/>
  <c r="AG9"/>
  <c r="AG10"/>
  <c r="AG11"/>
  <c r="AG12"/>
  <c r="AG13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7"/>
  <c r="AG68"/>
  <c r="AG69"/>
  <c r="AG70"/>
  <c r="AG71"/>
  <c r="AG5"/>
  <c r="AE6"/>
  <c r="AE7"/>
  <c r="AE8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69"/>
  <c r="AE70"/>
  <c r="AE71"/>
  <c r="AE72"/>
  <c r="AE5"/>
  <c r="AC6"/>
  <c r="AC7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5"/>
  <c r="AA6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0"/>
  <c r="AA71"/>
  <c r="AA72"/>
  <c r="AA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5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5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5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E6" l="1"/>
  <c r="E7"/>
  <c r="E8"/>
  <c r="E9"/>
  <c r="E10"/>
  <c r="E11"/>
  <c r="E12"/>
  <c r="E13"/>
  <c r="E14"/>
  <c r="E15"/>
  <c r="E16"/>
  <c r="E17"/>
  <c r="E18"/>
  <c r="E19"/>
  <c r="E20"/>
  <c r="E21"/>
  <c r="E5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22"/>
  <c r="BL70"/>
  <c r="BL69"/>
  <c r="BL57"/>
  <c r="BL56"/>
  <c r="BL55"/>
  <c r="BL54"/>
  <c r="BL53"/>
  <c r="BL52"/>
  <c r="BL51"/>
  <c r="BL50"/>
  <c r="BL49"/>
  <c r="BL48"/>
  <c r="BL47"/>
  <c r="BL46"/>
  <c r="BL45"/>
  <c r="BL44"/>
  <c r="BL43"/>
  <c r="BL42"/>
  <c r="BL41"/>
  <c r="BL40"/>
  <c r="BL39"/>
  <c r="BL38"/>
  <c r="BL37"/>
  <c r="BL36"/>
  <c r="BL35"/>
  <c r="BL34"/>
  <c r="BL33"/>
  <c r="BL32"/>
  <c r="BL31"/>
  <c r="BL30"/>
  <c r="BL29"/>
  <c r="BL28"/>
  <c r="BL27"/>
  <c r="BL26"/>
  <c r="BL25"/>
  <c r="BL24"/>
  <c r="BL23"/>
  <c r="BL22"/>
  <c r="BL21"/>
  <c r="BL20"/>
  <c r="BL19"/>
  <c r="BL18"/>
  <c r="BL17"/>
  <c r="BL16"/>
  <c r="BL15"/>
  <c r="BL14"/>
  <c r="BL13"/>
  <c r="BL12"/>
  <c r="BL11"/>
  <c r="BL10"/>
  <c r="BL9"/>
  <c r="BL8"/>
  <c r="BL7"/>
  <c r="BL6"/>
  <c r="BJ70"/>
  <c r="BK70" s="1"/>
  <c r="BJ69"/>
  <c r="BK69" s="1"/>
  <c r="BJ57"/>
  <c r="BK57" s="1"/>
  <c r="BJ56"/>
  <c r="BK56" s="1"/>
  <c r="BJ55"/>
  <c r="BK55" s="1"/>
  <c r="BJ54"/>
  <c r="BK54" s="1"/>
  <c r="BJ53"/>
  <c r="BK53" s="1"/>
  <c r="BJ52"/>
  <c r="BK52" s="1"/>
  <c r="BJ51"/>
  <c r="BK51" s="1"/>
  <c r="BJ50"/>
  <c r="BK50" s="1"/>
  <c r="BJ49"/>
  <c r="BK49" s="1"/>
  <c r="BJ48"/>
  <c r="BK48" s="1"/>
  <c r="BJ47"/>
  <c r="BK47" s="1"/>
  <c r="BJ46"/>
  <c r="BK46" s="1"/>
  <c r="BJ45"/>
  <c r="BK45" s="1"/>
  <c r="BJ44"/>
  <c r="BK44" s="1"/>
  <c r="BJ43"/>
  <c r="BK43" s="1"/>
  <c r="BJ42"/>
  <c r="BK42" s="1"/>
  <c r="BJ41"/>
  <c r="BK41" s="1"/>
  <c r="BJ40"/>
  <c r="BK40" s="1"/>
  <c r="BJ39"/>
  <c r="BK39" s="1"/>
  <c r="BJ38"/>
  <c r="BK38" s="1"/>
  <c r="BJ37"/>
  <c r="BK37" s="1"/>
  <c r="BJ36"/>
  <c r="BK36" s="1"/>
  <c r="BJ35"/>
  <c r="BK35" s="1"/>
  <c r="BJ34"/>
  <c r="BK34" s="1"/>
  <c r="BJ33"/>
  <c r="BK33" s="1"/>
  <c r="BJ32"/>
  <c r="BK32" s="1"/>
  <c r="BJ31"/>
  <c r="BK31" s="1"/>
  <c r="BJ30"/>
  <c r="BK30" s="1"/>
  <c r="BJ29"/>
  <c r="BK29" s="1"/>
  <c r="BJ28"/>
  <c r="BK28" s="1"/>
  <c r="BJ27"/>
  <c r="BK27" s="1"/>
  <c r="BJ26"/>
  <c r="BK26" s="1"/>
  <c r="BJ25"/>
  <c r="BK25" s="1"/>
  <c r="BJ24"/>
  <c r="BK24" s="1"/>
  <c r="BJ23"/>
  <c r="BK23" s="1"/>
  <c r="BJ22"/>
  <c r="BK22" s="1"/>
  <c r="BJ21"/>
  <c r="BK21" s="1"/>
  <c r="BJ20"/>
  <c r="BK20" s="1"/>
  <c r="BJ19"/>
  <c r="BK19" s="1"/>
  <c r="BJ18"/>
  <c r="BK18" s="1"/>
  <c r="BJ17"/>
  <c r="BK17" s="1"/>
  <c r="BJ16"/>
  <c r="BK16" s="1"/>
  <c r="BJ15"/>
  <c r="BK15" s="1"/>
  <c r="BJ14"/>
  <c r="BK14" s="1"/>
  <c r="BJ13"/>
  <c r="BK13" s="1"/>
  <c r="BJ12"/>
  <c r="BK12" s="1"/>
  <c r="BJ11"/>
  <c r="BK11" s="1"/>
  <c r="BJ10"/>
  <c r="BK10" s="1"/>
  <c r="BJ9"/>
  <c r="BK9" s="1"/>
  <c r="BJ8"/>
  <c r="BK8" s="1"/>
  <c r="BJ7"/>
  <c r="BK7" s="1"/>
  <c r="BJ6"/>
  <c r="BK6" s="1"/>
  <c r="BJ5"/>
  <c r="BM5" l="1"/>
  <c r="BK5"/>
  <c r="BN7"/>
  <c r="BM7"/>
  <c r="BN9"/>
  <c r="BM9"/>
  <c r="BN11"/>
  <c r="BM11"/>
  <c r="BN13"/>
  <c r="BM13"/>
  <c r="BN15"/>
  <c r="BM15"/>
  <c r="BN17"/>
  <c r="BM17"/>
  <c r="BN19"/>
  <c r="BM19"/>
  <c r="BN21"/>
  <c r="BM21"/>
  <c r="BN23"/>
  <c r="BM23"/>
  <c r="BN25"/>
  <c r="BM25"/>
  <c r="BN27"/>
  <c r="BM27"/>
  <c r="BN29"/>
  <c r="BM29"/>
  <c r="BN31"/>
  <c r="BM31"/>
  <c r="BN33"/>
  <c r="BM33"/>
  <c r="BN35"/>
  <c r="BM35"/>
  <c r="BN37"/>
  <c r="BM37"/>
  <c r="BN39"/>
  <c r="BM39"/>
  <c r="BN41"/>
  <c r="BM41"/>
  <c r="BN43"/>
  <c r="BM43"/>
  <c r="BN45"/>
  <c r="BM45"/>
  <c r="BN47"/>
  <c r="BM47"/>
  <c r="BN49"/>
  <c r="BM49"/>
  <c r="BN51"/>
  <c r="BM51"/>
  <c r="BN53"/>
  <c r="BM53"/>
  <c r="BN55"/>
  <c r="BM55"/>
  <c r="BN57"/>
  <c r="BM57"/>
  <c r="BN70"/>
  <c r="BM70"/>
  <c r="BN6"/>
  <c r="BM6"/>
  <c r="BN8"/>
  <c r="BM8"/>
  <c r="BN10"/>
  <c r="BM10"/>
  <c r="BN12"/>
  <c r="BM12"/>
  <c r="BN14"/>
  <c r="BM14"/>
  <c r="BN16"/>
  <c r="BM16"/>
  <c r="BN18"/>
  <c r="BM18"/>
  <c r="BN20"/>
  <c r="BM20"/>
  <c r="BN22"/>
  <c r="BM22"/>
  <c r="BN24"/>
  <c r="BM24"/>
  <c r="BN26"/>
  <c r="BM26"/>
  <c r="BN28"/>
  <c r="BM28"/>
  <c r="BN30"/>
  <c r="BM30"/>
  <c r="BN32"/>
  <c r="BM32"/>
  <c r="BN34"/>
  <c r="BM34"/>
  <c r="BN36"/>
  <c r="BM36"/>
  <c r="BN38"/>
  <c r="BM38"/>
  <c r="BN40"/>
  <c r="BM40"/>
  <c r="BN42"/>
  <c r="BM42"/>
  <c r="BN44"/>
  <c r="BM44"/>
  <c r="BN46"/>
  <c r="BM46"/>
  <c r="BN48"/>
  <c r="BM48"/>
  <c r="BN50"/>
  <c r="BM50"/>
  <c r="BN52"/>
  <c r="BM52"/>
  <c r="BN54"/>
  <c r="BM54"/>
  <c r="BN56"/>
  <c r="BM56"/>
  <c r="BN69"/>
  <c r="BM69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</calcChain>
</file>

<file path=xl/sharedStrings.xml><?xml version="1.0" encoding="utf-8"?>
<sst xmlns="http://schemas.openxmlformats.org/spreadsheetml/2006/main" count="139" uniqueCount="87">
  <si>
    <t xml:space="preserve">СВОДНАЯ ИНФОРМАЦИЯ О ЗАРАБОТНОЙ ПЛАТЕ РАБОТНИКОВ МЕДИЦИНСКИХ ОРГАНИЗАЦИЙ ЗА 2012-1 КВАРТАЛ 2019 ГОДА </t>
  </si>
  <si>
    <t>Наименование медицинской организации</t>
  </si>
  <si>
    <t>ВРАЧИ</t>
  </si>
  <si>
    <t>1 кв. 2019</t>
  </si>
  <si>
    <t>СРЕДНИЙ МЕДИЦИНСКИЙ ПЕРСОНАЛ</t>
  </si>
  <si>
    <t>МЛАДШИЙ МЕДИЦИНСКИЙ ПЕРСОНАЛ</t>
  </si>
  <si>
    <t>ПРОЧИЙ ПЕРСОНАЛ</t>
  </si>
  <si>
    <t>№ П/П</t>
  </si>
  <si>
    <t>ОГБУЗ "Костромская областная клиническая больница"</t>
  </si>
  <si>
    <t>ОГБУЗ "Костромское областное бюро судебно-медицинской экспертизы"</t>
  </si>
  <si>
    <t>ОГБУЗ "Костромская областная психиатрическая больница"</t>
  </si>
  <si>
    <t>ОГБУЗ "Костромская областная стоматологическая поликлиника"</t>
  </si>
  <si>
    <t>ОГБУЗ "Костромской центр специализированных видов медицинской помощи"</t>
  </si>
  <si>
    <t>ОГБУЗ "Костромской областной наркологический диспансер"</t>
  </si>
  <si>
    <t>ОГБУЗ "Костромской онкологический диспансер"</t>
  </si>
  <si>
    <t>ОГБУЗ "Костромской противотуберкулезный диспансер"</t>
  </si>
  <si>
    <t>ОГБУЗ "Костромская областная станция переливания крови"</t>
  </si>
  <si>
    <t>ОГБУЗ "Костромской областной врачебно-физкультурный диспансер"</t>
  </si>
  <si>
    <t>ОГБУЗ "Костромской областной госпиталь для ветеранов войн"</t>
  </si>
  <si>
    <t>ОГБУЗ "Центр специализированной помощи по профилактике и борьбе с инфекционными заболеваниями"</t>
  </si>
  <si>
    <t>ОГБУЗ "Специализированный дом ребенка с органическим поражением центральной нервной системы с нарушением психики"</t>
  </si>
  <si>
    <t>ОГБУЗ "Центр планирования семьи и репродукции Костромской оласти "Центр матери и ребенка"</t>
  </si>
  <si>
    <t>ОГБУЗ "Городская больница г. Костромы"</t>
  </si>
  <si>
    <t>ОГБУЗ "Окружная больница Костромского округа №1"</t>
  </si>
  <si>
    <t>ОГБУЗ "Костромская областная детская больница"</t>
  </si>
  <si>
    <t>ОГБУЗ "Окружная больница Костромского округа №2"</t>
  </si>
  <si>
    <t>ОГБУЗ "Родильный дом г. Костромы"</t>
  </si>
  <si>
    <t>ОГБУЗ "Костромской медицинский центр психотерапии и практической психологии"</t>
  </si>
  <si>
    <t>ОГБУЗ "Костромская областная станция скорой медицинской помощи и медицины катастроф"</t>
  </si>
  <si>
    <t>ОГБУЗ "Стоматологическая поликлиника №1 г. Костромы"</t>
  </si>
  <si>
    <t>ОГБУЗ "Антроповская центральная районная больница"</t>
  </si>
  <si>
    <t>ОГБУЗ "Буйская центральная районная больница"</t>
  </si>
  <si>
    <t>ОГБУЗ "Волгореченская городская больница"</t>
  </si>
  <si>
    <t>ОГБУЗ "Вохомская межрайонная больница"</t>
  </si>
  <si>
    <t>ОГБУЗ "Галичская окружная больница"</t>
  </si>
  <si>
    <t>ОГБУЗ "Кадыйская районная больница"</t>
  </si>
  <si>
    <t>ОГБУЗ "Кологривская районная ольница"</t>
  </si>
  <si>
    <t>ОГБУЗ "Красносельская районная больница"</t>
  </si>
  <si>
    <t>ОГБУЗ "Макарьевская районная больница"</t>
  </si>
  <si>
    <t>ОГБУЗ "Мантуровская окружная больница"</t>
  </si>
  <si>
    <t>ОГБУЗ "Нейская районная больница"</t>
  </si>
  <si>
    <t>ОГБУЗ "Нерехтская центральная районная больница"</t>
  </si>
  <si>
    <t>ОГБУЗ "Стоматологическая поликлиника г. Нерехты"</t>
  </si>
  <si>
    <t>ОГБУЗ "Островская районная больница"</t>
  </si>
  <si>
    <t>ОГБУЗ "Солигаличская районная больница"</t>
  </si>
  <si>
    <t>ОГБУЗ "Судиславская районная больница"</t>
  </si>
  <si>
    <t>ОГБУЗ "Сусанинская районная больница"</t>
  </si>
  <si>
    <t>ОГБУЗ "Парфеньевская районная больница"</t>
  </si>
  <si>
    <t>ОГБУЗ "Чухломская центральная районная больница"</t>
  </si>
  <si>
    <t>ОГБУЗ "Шарьинская окружная больница имени Каверина В. Ф. "</t>
  </si>
  <si>
    <t>ОГБУЗ "Шарьинский психоневрологический диспансер"</t>
  </si>
  <si>
    <t>ОГБУЗ "Медицинский информационно-аналитический центр Костромской области"</t>
  </si>
  <si>
    <t>ОГБУЗ "Центр медицинской профилактики Костромской области"</t>
  </si>
  <si>
    <t>ОГБУЗ "Боговаровская РБ"</t>
  </si>
  <si>
    <t>ОГБУЗ "Межевская РБ"</t>
  </si>
  <si>
    <t>ОГБУЗ "Павинская РБ"</t>
  </si>
  <si>
    <t>ОГБУЗ "Ореховская РБ"</t>
  </si>
  <si>
    <t>ОГБУЗ "ЦКФХД"</t>
  </si>
  <si>
    <t xml:space="preserve">ОГБУЗ "Рождественская РБ" </t>
  </si>
  <si>
    <t>ОГБУЗ "Центр медицины катастроф"</t>
  </si>
  <si>
    <t>ОГБУЗ "Костромской кардиологический диспансер"</t>
  </si>
  <si>
    <t>ОГБУЗ "Спасская УБ"</t>
  </si>
  <si>
    <t>ОГБУЗ "Городская поликлиника № 4"</t>
  </si>
  <si>
    <t>ОГБУЗ "Детский санаторий"</t>
  </si>
  <si>
    <t>ОГБУЗ "Патологоанатомическое бюро"</t>
  </si>
  <si>
    <t>ОГБУЗ "Гавриловская УБ"</t>
  </si>
  <si>
    <t>ОГБУЗ "Поназыревская РБ"</t>
  </si>
  <si>
    <t>ОГБУЗ "Пыщугская РБ"</t>
  </si>
  <si>
    <t>ОГБУЗ "Центр восстановительной медицины"</t>
  </si>
  <si>
    <t>ИТОГО</t>
  </si>
  <si>
    <t>ОГБУЗ "Медицинский центр мобилизационного резерва "Резерв"</t>
  </si>
  <si>
    <t>ОГБУЗ "Центр контроля качества и сертификации лекарственных средств Костромской области"</t>
  </si>
  <si>
    <t>ОГБУЗ "Автобаза департамента здравоохранения Костромской области"</t>
  </si>
  <si>
    <t>ОГБПОУ "Костромской областной медицинский колледж имени Героя Советского Союза С.А.Богомолова"</t>
  </si>
  <si>
    <t>ОГБПОУ "Шарьинский медицинский колледж"</t>
  </si>
  <si>
    <t>ОГБУЗ "СП г.Шарьи"</t>
  </si>
  <si>
    <t>ОГБУЗ "Диз.станция"</t>
  </si>
  <si>
    <t>Административно-управленческий персонал</t>
  </si>
  <si>
    <t>Отклонение 2019 к 2012</t>
  </si>
  <si>
    <t>Отклонение к предыдущему году</t>
  </si>
  <si>
    <t>Категория персонала</t>
  </si>
  <si>
    <t>Врачи</t>
  </si>
  <si>
    <t>Средний медицинский персонал</t>
  </si>
  <si>
    <t>Младший медицинский персонал</t>
  </si>
  <si>
    <t>Прочий персонал</t>
  </si>
  <si>
    <t>АУП</t>
  </si>
  <si>
    <t>в том числе: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</si>
</sst>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wrapText="1"/>
    </xf>
    <xf numFmtId="4" fontId="6" fillId="3" borderId="0" xfId="0" applyNumberFormat="1" applyFont="1" applyFill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D77"/>
  <sheetViews>
    <sheetView tabSelected="1"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B1" sqref="B1:BO1048576"/>
    </sheetView>
  </sheetViews>
  <sheetFormatPr defaultRowHeight="15"/>
  <cols>
    <col min="1" max="1" width="6" style="6" customWidth="1"/>
    <col min="2" max="2" width="24" style="6" customWidth="1"/>
    <col min="3" max="3" width="11.42578125" style="1" customWidth="1"/>
    <col min="4" max="4" width="10.140625" style="1" customWidth="1"/>
    <col min="5" max="5" width="9.140625" style="15" customWidth="1"/>
    <col min="6" max="6" width="10.140625" style="1" customWidth="1"/>
    <col min="7" max="7" width="9.140625" style="1" customWidth="1"/>
    <col min="8" max="8" width="10.42578125" style="1" customWidth="1"/>
    <col min="9" max="9" width="9.140625" style="15" customWidth="1"/>
    <col min="10" max="10" width="10.7109375" style="1" customWidth="1"/>
    <col min="11" max="11" width="9.28515625" style="15" customWidth="1"/>
    <col min="12" max="12" width="10.5703125" style="1" customWidth="1"/>
    <col min="13" max="13" width="9.28515625" style="1" customWidth="1"/>
    <col min="14" max="14" width="10.7109375" style="1" customWidth="1"/>
    <col min="15" max="15" width="9.28515625" style="1" customWidth="1"/>
    <col min="16" max="16" width="11.140625" style="1" customWidth="1"/>
    <col min="17" max="18" width="9.28515625" style="1" customWidth="1"/>
    <col min="19" max="19" width="11.140625" style="1" customWidth="1"/>
    <col min="20" max="20" width="10.7109375" style="1" customWidth="1"/>
    <col min="21" max="21" width="9.28515625" style="15" customWidth="1"/>
    <col min="22" max="22" width="10.7109375" style="1" customWidth="1"/>
    <col min="23" max="23" width="9.28515625" style="15" customWidth="1"/>
    <col min="24" max="24" width="11.28515625" style="1" customWidth="1"/>
    <col min="25" max="25" width="9.28515625" style="15" customWidth="1"/>
    <col min="26" max="26" width="10.7109375" style="1" customWidth="1"/>
    <col min="27" max="27" width="9.28515625" style="15" customWidth="1"/>
    <col min="28" max="28" width="11" style="1" customWidth="1"/>
    <col min="29" max="29" width="9.140625" style="15" customWidth="1"/>
    <col min="30" max="30" width="10.42578125" style="1" customWidth="1"/>
    <col min="31" max="31" width="9.140625" style="15" customWidth="1"/>
    <col min="32" max="32" width="15.5703125" style="1" customWidth="1"/>
    <col min="33" max="34" width="8.42578125" style="15" customWidth="1"/>
    <col min="35" max="36" width="9.140625" style="1" customWidth="1"/>
    <col min="37" max="37" width="9.140625" style="15" customWidth="1"/>
    <col min="38" max="38" width="10.42578125" style="1" customWidth="1"/>
    <col min="39" max="39" width="9.140625" style="15" customWidth="1"/>
    <col min="40" max="40" width="10.85546875" style="1" customWidth="1"/>
    <col min="41" max="41" width="9.140625" style="15" customWidth="1"/>
    <col min="42" max="42" width="10.5703125" style="1" customWidth="1"/>
    <col min="43" max="43" width="9.140625" style="15" customWidth="1"/>
    <col min="44" max="44" width="10.28515625" style="1" customWidth="1"/>
    <col min="45" max="45" width="10.28515625" style="15" customWidth="1"/>
    <col min="46" max="46" width="13.140625" style="1" customWidth="1"/>
    <col min="47" max="47" width="13.140625" style="24" customWidth="1"/>
    <col min="48" max="48" width="11.28515625" style="1" customWidth="1"/>
    <col min="49" max="50" width="9.140625" style="15" customWidth="1"/>
    <col min="51" max="51" width="10.28515625" style="1" customWidth="1"/>
    <col min="52" max="52" width="11.140625" style="1" customWidth="1"/>
    <col min="53" max="53" width="9.140625" style="15" customWidth="1"/>
    <col min="54" max="54" width="10.42578125" style="1" customWidth="1"/>
    <col min="55" max="55" width="9.140625" style="15" customWidth="1"/>
    <col min="56" max="56" width="10.5703125" style="1" customWidth="1"/>
    <col min="57" max="57" width="9.140625" style="15" customWidth="1"/>
    <col min="58" max="58" width="10.5703125" style="1" customWidth="1"/>
    <col min="59" max="59" width="9.140625" style="15" customWidth="1"/>
    <col min="60" max="60" width="10.5703125" style="1" customWidth="1"/>
    <col min="61" max="61" width="9.140625" style="15" customWidth="1"/>
    <col min="62" max="62" width="11.7109375" style="1" customWidth="1"/>
    <col min="63" max="63" width="11.7109375" style="15" customWidth="1"/>
    <col min="64" max="64" width="10.7109375" style="1" customWidth="1"/>
    <col min="65" max="66" width="9.140625" style="15" customWidth="1"/>
    <col min="67" max="67" width="13.7109375" style="1" customWidth="1"/>
    <col min="68" max="68" width="10.7109375" style="1" customWidth="1"/>
    <col min="69" max="69" width="10.7109375" style="15" customWidth="1"/>
    <col min="70" max="70" width="13.7109375" style="1" customWidth="1"/>
    <col min="71" max="71" width="9.140625" style="15" customWidth="1"/>
    <col min="72" max="72" width="11.42578125" style="1" customWidth="1"/>
    <col min="73" max="73" width="11.42578125" style="15" customWidth="1"/>
    <col min="74" max="74" width="11.28515625" style="1" customWidth="1"/>
    <col min="75" max="75" width="11.28515625" style="15" customWidth="1"/>
    <col min="76" max="76" width="11" style="1" customWidth="1"/>
    <col min="77" max="77" width="11" style="15" customWidth="1"/>
    <col min="78" max="78" width="10.85546875" style="1" customWidth="1"/>
    <col min="79" max="79" width="10.85546875" style="15" customWidth="1"/>
    <col min="80" max="80" width="10.7109375" style="1" customWidth="1"/>
    <col min="81" max="81" width="10.7109375" style="15" customWidth="1"/>
    <col min="82" max="82" width="13.7109375" style="1" customWidth="1"/>
    <col min="83" max="83" width="9.140625" style="1" customWidth="1"/>
    <col min="84" max="16384" width="9.140625" style="1"/>
  </cols>
  <sheetData>
    <row r="1" spans="1:82" ht="34.5" customHeight="1">
      <c r="C1" s="39" t="s">
        <v>0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23"/>
      <c r="BN1" s="23"/>
    </row>
    <row r="2" spans="1:82" s="2" customFormat="1" ht="36" customHeight="1">
      <c r="A2" s="40" t="s">
        <v>7</v>
      </c>
      <c r="B2" s="40" t="s">
        <v>1</v>
      </c>
      <c r="C2" s="37" t="s">
        <v>2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3"/>
      <c r="R2" s="13"/>
      <c r="S2" s="37" t="s">
        <v>4</v>
      </c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22"/>
      <c r="AH2" s="22"/>
      <c r="AI2" s="37" t="s">
        <v>5</v>
      </c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22"/>
      <c r="AX2" s="22"/>
      <c r="AY2" s="37" t="s">
        <v>6</v>
      </c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22"/>
      <c r="BN2" s="22"/>
      <c r="BO2" s="37" t="s">
        <v>77</v>
      </c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22"/>
      <c r="CD2" s="19"/>
    </row>
    <row r="3" spans="1:82" s="5" customFormat="1" ht="75">
      <c r="A3" s="40"/>
      <c r="B3" s="40"/>
      <c r="C3" s="4">
        <v>2012</v>
      </c>
      <c r="D3" s="4">
        <v>2013</v>
      </c>
      <c r="E3" s="4" t="s">
        <v>79</v>
      </c>
      <c r="F3" s="4">
        <v>2014</v>
      </c>
      <c r="G3" s="4" t="s">
        <v>79</v>
      </c>
      <c r="H3" s="4">
        <v>2015</v>
      </c>
      <c r="I3" s="4" t="s">
        <v>79</v>
      </c>
      <c r="J3" s="4">
        <v>2016</v>
      </c>
      <c r="K3" s="4" t="s">
        <v>79</v>
      </c>
      <c r="L3" s="4">
        <v>2017</v>
      </c>
      <c r="M3" s="4" t="s">
        <v>79</v>
      </c>
      <c r="N3" s="4">
        <v>2018</v>
      </c>
      <c r="O3" s="4" t="s">
        <v>79</v>
      </c>
      <c r="P3" s="4" t="s">
        <v>3</v>
      </c>
      <c r="Q3" s="4" t="s">
        <v>79</v>
      </c>
      <c r="R3" s="4" t="s">
        <v>78</v>
      </c>
      <c r="S3" s="4">
        <v>2012</v>
      </c>
      <c r="T3" s="4">
        <v>2013</v>
      </c>
      <c r="U3" s="4" t="s">
        <v>79</v>
      </c>
      <c r="V3" s="4">
        <v>2014</v>
      </c>
      <c r="W3" s="4" t="s">
        <v>79</v>
      </c>
      <c r="X3" s="4">
        <v>2015</v>
      </c>
      <c r="Y3" s="4" t="s">
        <v>79</v>
      </c>
      <c r="Z3" s="4">
        <v>2016</v>
      </c>
      <c r="AA3" s="4" t="s">
        <v>79</v>
      </c>
      <c r="AB3" s="4">
        <v>2017</v>
      </c>
      <c r="AC3" s="4" t="s">
        <v>79</v>
      </c>
      <c r="AD3" s="4">
        <v>2018</v>
      </c>
      <c r="AE3" s="4" t="s">
        <v>79</v>
      </c>
      <c r="AF3" s="4" t="s">
        <v>3</v>
      </c>
      <c r="AG3" s="4" t="s">
        <v>79</v>
      </c>
      <c r="AH3" s="4" t="s">
        <v>78</v>
      </c>
      <c r="AI3" s="4">
        <v>2012</v>
      </c>
      <c r="AJ3" s="4">
        <v>2013</v>
      </c>
      <c r="AK3" s="4" t="s">
        <v>79</v>
      </c>
      <c r="AL3" s="4">
        <v>2014</v>
      </c>
      <c r="AM3" s="4" t="s">
        <v>79</v>
      </c>
      <c r="AN3" s="4">
        <v>2015</v>
      </c>
      <c r="AO3" s="4" t="s">
        <v>79</v>
      </c>
      <c r="AP3" s="4">
        <v>2016</v>
      </c>
      <c r="AQ3" s="4" t="s">
        <v>79</v>
      </c>
      <c r="AR3" s="4">
        <v>2017</v>
      </c>
      <c r="AS3" s="4" t="s">
        <v>79</v>
      </c>
      <c r="AT3" s="4">
        <v>2018</v>
      </c>
      <c r="AU3" s="14" t="s">
        <v>79</v>
      </c>
      <c r="AV3" s="4" t="s">
        <v>3</v>
      </c>
      <c r="AW3" s="4" t="s">
        <v>79</v>
      </c>
      <c r="AX3" s="4" t="s">
        <v>78</v>
      </c>
      <c r="AY3" s="4">
        <v>2012</v>
      </c>
      <c r="AZ3" s="4">
        <v>2013</v>
      </c>
      <c r="BA3" s="4" t="s">
        <v>79</v>
      </c>
      <c r="BB3" s="4">
        <v>2014</v>
      </c>
      <c r="BC3" s="4" t="s">
        <v>79</v>
      </c>
      <c r="BD3" s="4">
        <v>2015</v>
      </c>
      <c r="BE3" s="4" t="s">
        <v>79</v>
      </c>
      <c r="BF3" s="4">
        <v>2016</v>
      </c>
      <c r="BG3" s="4" t="s">
        <v>79</v>
      </c>
      <c r="BH3" s="4">
        <v>2017</v>
      </c>
      <c r="BI3" s="4" t="s">
        <v>79</v>
      </c>
      <c r="BJ3" s="4">
        <v>2018</v>
      </c>
      <c r="BK3" s="4" t="s">
        <v>79</v>
      </c>
      <c r="BL3" s="4" t="s">
        <v>3</v>
      </c>
      <c r="BM3" s="4" t="s">
        <v>79</v>
      </c>
      <c r="BN3" s="4" t="s">
        <v>78</v>
      </c>
      <c r="BO3" s="4">
        <v>2012</v>
      </c>
      <c r="BP3" s="4">
        <v>2013</v>
      </c>
      <c r="BQ3" s="4" t="s">
        <v>79</v>
      </c>
      <c r="BR3" s="4">
        <v>2014</v>
      </c>
      <c r="BS3" s="4" t="s">
        <v>79</v>
      </c>
      <c r="BT3" s="4">
        <v>2015</v>
      </c>
      <c r="BU3" s="4" t="s">
        <v>79</v>
      </c>
      <c r="BV3" s="4">
        <v>2016</v>
      </c>
      <c r="BW3" s="4" t="s">
        <v>79</v>
      </c>
      <c r="BX3" s="4">
        <v>2017</v>
      </c>
      <c r="BY3" s="4" t="s">
        <v>79</v>
      </c>
      <c r="BZ3" s="4">
        <v>2018</v>
      </c>
      <c r="CA3" s="4" t="s">
        <v>79</v>
      </c>
      <c r="CB3" s="4" t="s">
        <v>3</v>
      </c>
      <c r="CC3" s="4" t="s">
        <v>79</v>
      </c>
      <c r="CD3" s="4" t="s">
        <v>78</v>
      </c>
    </row>
    <row r="4" spans="1:82" s="25" customFormat="1">
      <c r="A4" s="38" t="s">
        <v>69</v>
      </c>
      <c r="B4" s="38"/>
      <c r="C4" s="16">
        <v>28840.3</v>
      </c>
      <c r="D4" s="16">
        <v>34352.6</v>
      </c>
      <c r="E4" s="16">
        <v>119.11318536908423</v>
      </c>
      <c r="F4" s="16">
        <v>36515.879999999997</v>
      </c>
      <c r="G4" s="16">
        <v>106.29728171957873</v>
      </c>
      <c r="H4" s="16">
        <v>36870.800000000003</v>
      </c>
      <c r="I4" s="16">
        <v>100.97196069217011</v>
      </c>
      <c r="J4" s="16">
        <v>37183.54</v>
      </c>
      <c r="K4" s="16">
        <v>100.84820508369768</v>
      </c>
      <c r="L4" s="16">
        <v>37776.400000000001</v>
      </c>
      <c r="M4" s="16">
        <v>101.59441516326848</v>
      </c>
      <c r="N4" s="16">
        <v>49034.2</v>
      </c>
      <c r="O4" s="16">
        <v>129.80114568884275</v>
      </c>
      <c r="P4" s="16">
        <v>50027.4</v>
      </c>
      <c r="Q4" s="16">
        <v>102.02552504170559</v>
      </c>
      <c r="R4" s="16">
        <v>173.46352153063594</v>
      </c>
      <c r="S4" s="16">
        <v>13342.2</v>
      </c>
      <c r="T4" s="16">
        <v>15774.4</v>
      </c>
      <c r="U4" s="16">
        <v>118.22937746398642</v>
      </c>
      <c r="V4" s="16">
        <v>17854.75</v>
      </c>
      <c r="W4" s="16">
        <v>113.18814027791866</v>
      </c>
      <c r="X4" s="16">
        <v>18396.3</v>
      </c>
      <c r="Y4" s="16">
        <v>103.03308643358208</v>
      </c>
      <c r="Z4" s="16">
        <v>19291.3</v>
      </c>
      <c r="AA4" s="16">
        <v>104.86510874469323</v>
      </c>
      <c r="AB4" s="16">
        <v>19794.599999999999</v>
      </c>
      <c r="AC4" s="16">
        <v>102.608948075039</v>
      </c>
      <c r="AD4" s="16">
        <v>24610.9</v>
      </c>
      <c r="AE4" s="16">
        <v>124.33138330655838</v>
      </c>
      <c r="AF4" s="16">
        <v>26209.7</v>
      </c>
      <c r="AG4" s="16">
        <v>106.49630854621326</v>
      </c>
      <c r="AH4" s="16">
        <v>196.44211599286473</v>
      </c>
      <c r="AI4" s="16">
        <v>7524</v>
      </c>
      <c r="AJ4" s="16">
        <v>9513.7999999999993</v>
      </c>
      <c r="AK4" s="16">
        <v>126.44603934077618</v>
      </c>
      <c r="AL4" s="16">
        <v>10566.56</v>
      </c>
      <c r="AM4" s="16">
        <v>111.06560995606382</v>
      </c>
      <c r="AN4" s="16">
        <v>10987.7</v>
      </c>
      <c r="AO4" s="16">
        <v>103.98559228358141</v>
      </c>
      <c r="AP4" s="16">
        <v>11432.8</v>
      </c>
      <c r="AQ4" s="16">
        <v>104.05089327156729</v>
      </c>
      <c r="AR4" s="16">
        <v>13151.3</v>
      </c>
      <c r="AS4" s="16">
        <v>115.0313134140368</v>
      </c>
      <c r="AT4" s="16">
        <v>24394.7</v>
      </c>
      <c r="AU4" s="16">
        <v>185.49268893569459</v>
      </c>
      <c r="AV4" s="16">
        <v>24399.7</v>
      </c>
      <c r="AW4" s="16">
        <v>100.02049625533415</v>
      </c>
      <c r="AX4" s="16">
        <v>324.29160021265284</v>
      </c>
      <c r="AY4" s="16">
        <v>13402.7</v>
      </c>
      <c r="AZ4" s="16">
        <v>15478.9</v>
      </c>
      <c r="BA4" s="16">
        <v>115.49090854827757</v>
      </c>
      <c r="BB4" s="16">
        <v>14957.8</v>
      </c>
      <c r="BC4" s="16">
        <v>96.633481707356466</v>
      </c>
      <c r="BD4" s="16">
        <v>15367</v>
      </c>
      <c r="BE4" s="16">
        <v>102.73569642594499</v>
      </c>
      <c r="BF4" s="16">
        <v>15787.1</v>
      </c>
      <c r="BG4" s="16">
        <v>102.73378017830417</v>
      </c>
      <c r="BH4" s="16">
        <v>15161.6</v>
      </c>
      <c r="BI4" s="16">
        <v>96.037904364956191</v>
      </c>
      <c r="BJ4" s="16">
        <v>15374.3</v>
      </c>
      <c r="BK4" s="16">
        <v>101.40288623891938</v>
      </c>
      <c r="BL4" s="16">
        <v>16330</v>
      </c>
      <c r="BM4" s="16">
        <v>106.21621797415169</v>
      </c>
      <c r="BN4" s="16">
        <v>121.84112156505778</v>
      </c>
      <c r="BO4" s="16">
        <v>17312.556530612252</v>
      </c>
      <c r="BP4" s="16">
        <v>19565.196326530619</v>
      </c>
      <c r="BQ4" s="16">
        <v>113.01159532351693</v>
      </c>
      <c r="BR4" s="17">
        <v>20458.694489795915</v>
      </c>
      <c r="BS4" s="17">
        <v>104.56677330681165</v>
      </c>
      <c r="BT4" s="17">
        <v>21624.767959183671</v>
      </c>
      <c r="BU4" s="17">
        <v>105.69964750179615</v>
      </c>
      <c r="BV4" s="17">
        <v>22442.35775510205</v>
      </c>
      <c r="BW4" s="17">
        <v>103.78080263086089</v>
      </c>
      <c r="BX4" s="17">
        <v>22603.186122448977</v>
      </c>
      <c r="BY4" s="17">
        <v>100.71662865863711</v>
      </c>
      <c r="BZ4" s="17">
        <v>23907.929387755103</v>
      </c>
      <c r="CA4" s="17">
        <v>105.7723865044419</v>
      </c>
      <c r="CB4" s="17">
        <v>24309.146530612237</v>
      </c>
      <c r="CC4" s="17">
        <v>101.67817604088552</v>
      </c>
      <c r="CD4" s="16">
        <v>140.41338428341615</v>
      </c>
    </row>
    <row r="5" spans="1:82" ht="38.25">
      <c r="A5" s="35">
        <v>1</v>
      </c>
      <c r="B5" s="7" t="s">
        <v>8</v>
      </c>
      <c r="C5" s="11">
        <v>28485.1</v>
      </c>
      <c r="D5" s="11">
        <v>30321.200000000001</v>
      </c>
      <c r="E5" s="14">
        <f>D5/C5*100</f>
        <v>106.44582606345072</v>
      </c>
      <c r="F5" s="11">
        <v>35765.440000000002</v>
      </c>
      <c r="G5" s="18">
        <f t="shared" ref="G5:G68" si="0">F5/D5*100</f>
        <v>117.95522604646254</v>
      </c>
      <c r="H5" s="11">
        <v>37834.21</v>
      </c>
      <c r="I5" s="14">
        <f>H5/F5*100</f>
        <v>105.78427107285691</v>
      </c>
      <c r="J5" s="11">
        <v>40672.400000000001</v>
      </c>
      <c r="K5" s="14">
        <f>J5/H5*100</f>
        <v>107.50164996176741</v>
      </c>
      <c r="L5" s="11">
        <v>42403.9</v>
      </c>
      <c r="M5" s="11">
        <f>L5/J5*100</f>
        <v>104.25718669171231</v>
      </c>
      <c r="N5" s="11">
        <v>51417.8</v>
      </c>
      <c r="O5" s="11">
        <f>N5/L5*100</f>
        <v>121.25724284794559</v>
      </c>
      <c r="P5" s="11">
        <v>51479.5</v>
      </c>
      <c r="Q5" s="11">
        <f>P5/N5*100</f>
        <v>100.11999735500157</v>
      </c>
      <c r="R5" s="11">
        <f>P5/C5*100</f>
        <v>180.7243084981271</v>
      </c>
      <c r="S5" s="11">
        <v>14274.9</v>
      </c>
      <c r="T5" s="11">
        <v>16957.8</v>
      </c>
      <c r="U5" s="14">
        <f>T5/S5*100</f>
        <v>118.79452745728516</v>
      </c>
      <c r="V5" s="11">
        <v>19599.93</v>
      </c>
      <c r="W5" s="14">
        <f>V5/T5*100</f>
        <v>115.58061776881436</v>
      </c>
      <c r="X5" s="11">
        <v>21047.1</v>
      </c>
      <c r="Y5" s="14">
        <f>X5/V5*100</f>
        <v>107.38354677797317</v>
      </c>
      <c r="Z5" s="11">
        <v>22558.400000000001</v>
      </c>
      <c r="AA5" s="14">
        <f>Z5/X5*100</f>
        <v>107.18056169258475</v>
      </c>
      <c r="AB5" s="11">
        <v>23150.1</v>
      </c>
      <c r="AC5" s="14">
        <f>AB5/Z5*100</f>
        <v>102.62296971416411</v>
      </c>
      <c r="AD5" s="11">
        <v>27869.4</v>
      </c>
      <c r="AE5" s="14">
        <f>AD5/AB5*100</f>
        <v>120.3856570813949</v>
      </c>
      <c r="AF5" s="11">
        <v>31153.599999999999</v>
      </c>
      <c r="AG5" s="14">
        <f>AF5/AD5*100</f>
        <v>111.78425082707197</v>
      </c>
      <c r="AH5" s="14">
        <f>AF5/C5*100</f>
        <v>109.36805557993476</v>
      </c>
      <c r="AI5" s="11">
        <v>8223.7999999999993</v>
      </c>
      <c r="AJ5" s="11">
        <v>9175.2999999999993</v>
      </c>
      <c r="AK5" s="14">
        <f>AJ5/AI5*100</f>
        <v>111.57007709331452</v>
      </c>
      <c r="AL5" s="11">
        <v>11918.16</v>
      </c>
      <c r="AM5" s="14">
        <f>AL5/AJ5*100</f>
        <v>129.89395442110884</v>
      </c>
      <c r="AN5" s="11">
        <v>13395.75</v>
      </c>
      <c r="AO5" s="14">
        <f>AN5/AL5*100</f>
        <v>112.39780301657302</v>
      </c>
      <c r="AP5" s="11">
        <v>14642.7</v>
      </c>
      <c r="AQ5" s="14">
        <f>AP5/AN5*100</f>
        <v>109.30854935333969</v>
      </c>
      <c r="AR5" s="11">
        <v>16035.8</v>
      </c>
      <c r="AS5" s="14">
        <f>AR5/AP5*100</f>
        <v>109.5139557595252</v>
      </c>
      <c r="AT5" s="11">
        <v>25168.400000000001</v>
      </c>
      <c r="AU5" s="14">
        <f>AT5/AR5*100</f>
        <v>156.9513214183265</v>
      </c>
      <c r="AV5" s="11">
        <v>26189.1</v>
      </c>
      <c r="AW5" s="14">
        <f>AV5/AT5*100</f>
        <v>104.05548227141969</v>
      </c>
      <c r="AX5" s="14">
        <f>AV5/AI5*100</f>
        <v>318.45497215399206</v>
      </c>
      <c r="AY5" s="11">
        <v>12093</v>
      </c>
      <c r="AZ5" s="11">
        <v>14108.1</v>
      </c>
      <c r="BA5" s="14">
        <f>AZ5/AY5*100</f>
        <v>116.66335896799802</v>
      </c>
      <c r="BB5" s="11">
        <v>14844.6</v>
      </c>
      <c r="BC5" s="14">
        <f>BB5/AZ5*100</f>
        <v>105.2204052990835</v>
      </c>
      <c r="BD5" s="11">
        <v>16127.56</v>
      </c>
      <c r="BE5" s="14">
        <f>BD5/BB5*100</f>
        <v>108.64260404456839</v>
      </c>
      <c r="BF5" s="11">
        <v>16947.2</v>
      </c>
      <c r="BG5" s="14">
        <f>BF5/BD5*100</f>
        <v>105.0822319061284</v>
      </c>
      <c r="BH5" s="11">
        <v>16669.8</v>
      </c>
      <c r="BI5" s="14">
        <f>BH5/BF5*100</f>
        <v>98.36315143504531</v>
      </c>
      <c r="BJ5" s="11">
        <f>61584.1/287.7/12*1000</f>
        <v>17838.054686594834</v>
      </c>
      <c r="BK5" s="14">
        <f>BJ5/BH5*100</f>
        <v>107.00821057598074</v>
      </c>
      <c r="BL5" s="11">
        <f>15797.2/284.8/3*1000</f>
        <v>18489.232209737827</v>
      </c>
      <c r="BM5" s="14">
        <f>BL5/BJ5*100</f>
        <v>103.65049628215542</v>
      </c>
      <c r="BN5" s="14">
        <f>BL5/AY5*100</f>
        <v>152.89202191133572</v>
      </c>
      <c r="BO5" s="11">
        <v>16054.56</v>
      </c>
      <c r="BP5" s="11">
        <v>18120.89</v>
      </c>
      <c r="BQ5" s="14">
        <f>BP5/BO5*100</f>
        <v>112.87067350335356</v>
      </c>
      <c r="BR5" s="11">
        <v>20355.03</v>
      </c>
      <c r="BS5" s="14">
        <f>BR5/BP5*100</f>
        <v>112.32908538156789</v>
      </c>
      <c r="BT5" s="11">
        <v>23170.799999999999</v>
      </c>
      <c r="BU5" s="14">
        <f>BT5/BR5*100</f>
        <v>113.83328838129935</v>
      </c>
      <c r="BV5" s="11">
        <v>24666.94</v>
      </c>
      <c r="BW5" s="14">
        <f>BV5/BT5*100</f>
        <v>106.45700623198162</v>
      </c>
      <c r="BX5" s="11">
        <v>25730</v>
      </c>
      <c r="BY5" s="14">
        <f>BX5/BV5*100</f>
        <v>104.3096549470668</v>
      </c>
      <c r="BZ5" s="11">
        <v>27111.39</v>
      </c>
      <c r="CA5" s="14">
        <f>BZ5/BX5*100</f>
        <v>105.36879129420909</v>
      </c>
      <c r="CB5" s="11">
        <v>28334.44</v>
      </c>
      <c r="CC5" s="14">
        <f>CB5/BZ5*100</f>
        <v>104.51120359376631</v>
      </c>
      <c r="CD5" s="20">
        <f t="shared" ref="CD5:CD54" si="1">CB5/BO5*100</f>
        <v>176.48842447254859</v>
      </c>
    </row>
    <row r="6" spans="1:82" ht="38.25">
      <c r="A6" s="35">
        <f>A5+1</f>
        <v>2</v>
      </c>
      <c r="B6" s="7" t="s">
        <v>9</v>
      </c>
      <c r="C6" s="11">
        <v>25752.9</v>
      </c>
      <c r="D6" s="11">
        <v>30335.5</v>
      </c>
      <c r="E6" s="14">
        <f t="shared" ref="E6:E21" si="2">D6/C6*100</f>
        <v>117.7945008135006</v>
      </c>
      <c r="F6" s="11">
        <v>29225</v>
      </c>
      <c r="G6" s="18">
        <f t="shared" si="0"/>
        <v>96.339272469548874</v>
      </c>
      <c r="H6" s="11">
        <v>33711.83</v>
      </c>
      <c r="I6" s="14">
        <f t="shared" ref="I6:I69" si="3">H6/F6*100</f>
        <v>115.35271171941832</v>
      </c>
      <c r="J6" s="11">
        <v>38315.699999999997</v>
      </c>
      <c r="K6" s="14">
        <f t="shared" ref="K6:K69" si="4">J6/H6*100</f>
        <v>113.65654133875258</v>
      </c>
      <c r="L6" s="11">
        <v>37482.199999999997</v>
      </c>
      <c r="M6" s="11">
        <f t="shared" ref="M6:M69" si="5">L6/J6*100</f>
        <v>97.824651513609311</v>
      </c>
      <c r="N6" s="11">
        <v>47919.4</v>
      </c>
      <c r="O6" s="11">
        <f t="shared" ref="O6:O69" si="6">N6/L6*100</f>
        <v>127.84575078303837</v>
      </c>
      <c r="P6" s="11">
        <v>48921</v>
      </c>
      <c r="Q6" s="11">
        <f t="shared" ref="Q6:Q69" si="7">P6/N6*100</f>
        <v>102.09017642124066</v>
      </c>
      <c r="R6" s="11">
        <f t="shared" ref="R6:R69" si="8">P6/C6*100</f>
        <v>189.96307212003308</v>
      </c>
      <c r="S6" s="11">
        <v>13945.6</v>
      </c>
      <c r="T6" s="11">
        <v>16751.900000000001</v>
      </c>
      <c r="U6" s="14">
        <f t="shared" ref="U6:U69" si="9">T6/S6*100</f>
        <v>120.12319297843048</v>
      </c>
      <c r="V6" s="11">
        <v>17480.560000000001</v>
      </c>
      <c r="W6" s="14">
        <f t="shared" ref="W6:W69" si="10">V6/T6*100</f>
        <v>104.34971555465351</v>
      </c>
      <c r="X6" s="11">
        <v>18655.11</v>
      </c>
      <c r="Y6" s="14">
        <f t="shared" ref="Y6:Y69" si="11">X6/V6*100</f>
        <v>106.71917833295959</v>
      </c>
      <c r="Z6" s="11">
        <v>17994.099999999999</v>
      </c>
      <c r="AA6" s="14">
        <f t="shared" ref="AA6:AA69" si="12">Z6/X6*100</f>
        <v>96.456681306087162</v>
      </c>
      <c r="AB6" s="11">
        <v>18270.8</v>
      </c>
      <c r="AC6" s="14">
        <f t="shared" ref="AC6:AC69" si="13">AB6/Z6*100</f>
        <v>101.53772625471682</v>
      </c>
      <c r="AD6" s="11">
        <v>24064.2</v>
      </c>
      <c r="AE6" s="14">
        <f t="shared" ref="AE6:AE69" si="14">AD6/AB6*100</f>
        <v>131.70851851041004</v>
      </c>
      <c r="AF6" s="11">
        <v>25229.599999999999</v>
      </c>
      <c r="AG6" s="14">
        <f t="shared" ref="AG6:AG69" si="15">AF6/AD6*100</f>
        <v>104.84287863299006</v>
      </c>
      <c r="AH6" s="14">
        <f t="shared" ref="AH6:AH69" si="16">AF6/C6*100</f>
        <v>97.967995837361997</v>
      </c>
      <c r="AI6" s="11">
        <v>11290.5</v>
      </c>
      <c r="AJ6" s="11">
        <v>12778.9</v>
      </c>
      <c r="AK6" s="14">
        <f t="shared" ref="AK6:AK69" si="17">AJ6/AI6*100</f>
        <v>113.18276427084717</v>
      </c>
      <c r="AL6" s="11">
        <v>13206.94</v>
      </c>
      <c r="AM6" s="14">
        <f t="shared" ref="AM6:AM69" si="18">AL6/AJ6*100</f>
        <v>103.34958408000689</v>
      </c>
      <c r="AN6" s="11">
        <v>11723.37</v>
      </c>
      <c r="AO6" s="14">
        <f t="shared" ref="AO6:AO69" si="19">AN6/AL6*100</f>
        <v>88.766739305244073</v>
      </c>
      <c r="AP6" s="11">
        <v>10908.7</v>
      </c>
      <c r="AQ6" s="14">
        <f t="shared" ref="AQ6:AQ69" si="20">AP6/AN6*100</f>
        <v>93.050888950873343</v>
      </c>
      <c r="AR6" s="11">
        <v>12265.9</v>
      </c>
      <c r="AS6" s="14">
        <f t="shared" ref="AS6:AS69" si="21">AR6/AP6*100</f>
        <v>112.44144581847515</v>
      </c>
      <c r="AT6" s="11">
        <v>24223.7</v>
      </c>
      <c r="AU6" s="14">
        <f t="shared" ref="AU6:AU69" si="22">AT6/AR6*100</f>
        <v>197.48815822728051</v>
      </c>
      <c r="AV6" s="11">
        <v>24812.7</v>
      </c>
      <c r="AW6" s="14">
        <f t="shared" ref="AW6:AW69" si="23">AV6/AT6*100</f>
        <v>102.43150303215447</v>
      </c>
      <c r="AX6" s="14">
        <f t="shared" ref="AX6:AX69" si="24">AV6/AI6*100</f>
        <v>219.76617510296265</v>
      </c>
      <c r="AY6" s="11">
        <v>9269.5</v>
      </c>
      <c r="AZ6" s="11">
        <v>13722</v>
      </c>
      <c r="BA6" s="14">
        <f t="shared" ref="BA6:BA69" si="25">AZ6/AY6*100</f>
        <v>148.03387453476455</v>
      </c>
      <c r="BB6" s="11">
        <v>10544.44</v>
      </c>
      <c r="BC6" s="14">
        <f t="shared" ref="BC6:BC69" si="26">BB6/AZ6*100</f>
        <v>76.84331730068503</v>
      </c>
      <c r="BD6" s="11">
        <v>12715.77</v>
      </c>
      <c r="BE6" s="14">
        <f t="shared" ref="BE6:BE69" si="27">BD6/BB6*100</f>
        <v>120.592179385534</v>
      </c>
      <c r="BF6" s="11">
        <v>12707.5</v>
      </c>
      <c r="BG6" s="14">
        <f t="shared" ref="BG6:BG69" si="28">BF6/BD6*100</f>
        <v>99.93496264874247</v>
      </c>
      <c r="BH6" s="11">
        <v>13557.5</v>
      </c>
      <c r="BI6" s="14">
        <f t="shared" ref="BI6:BI69" si="29">BH6/BF6*100</f>
        <v>106.68896321070234</v>
      </c>
      <c r="BJ6" s="11">
        <f>1922.9/10/12*1000</f>
        <v>16024.16666666667</v>
      </c>
      <c r="BK6" s="14">
        <f t="shared" ref="BK6:BK69" si="30">BJ6/BH6*100</f>
        <v>118.19411150039956</v>
      </c>
      <c r="BL6" s="11">
        <f>511.8/10.3/3*1000</f>
        <v>16563.106796116503</v>
      </c>
      <c r="BM6" s="14">
        <f t="shared" ref="BM6:BM69" si="31">BL6/BJ6*100</f>
        <v>103.3632958309834</v>
      </c>
      <c r="BN6" s="14">
        <f t="shared" ref="BN6:BN69" si="32">BL6/AY6*100</f>
        <v>178.68392897261452</v>
      </c>
      <c r="BO6" s="11">
        <v>13531.67</v>
      </c>
      <c r="BP6" s="11">
        <v>14546.67</v>
      </c>
      <c r="BQ6" s="14">
        <f t="shared" ref="BQ6:BQ54" si="33">BP6/BO6*100</f>
        <v>107.50092191133835</v>
      </c>
      <c r="BR6" s="11">
        <v>12652.56</v>
      </c>
      <c r="BS6" s="14">
        <f t="shared" ref="BS6:BS54" si="34">BR6/BP6*100</f>
        <v>86.979081810476217</v>
      </c>
      <c r="BT6" s="11">
        <v>17319.7</v>
      </c>
      <c r="BU6" s="14">
        <f t="shared" ref="BU6:BU54" si="35">BT6/BR6*100</f>
        <v>136.88692248841343</v>
      </c>
      <c r="BV6" s="11">
        <v>14515.15</v>
      </c>
      <c r="BW6" s="14">
        <f t="shared" ref="BW6:BW54" si="36">BV6/BT6*100</f>
        <v>83.807167560639044</v>
      </c>
      <c r="BX6" s="11">
        <v>15880.3</v>
      </c>
      <c r="BY6" s="14">
        <f t="shared" ref="BY6:BY54" si="37">BX6/BV6*100</f>
        <v>109.40500098173287</v>
      </c>
      <c r="BZ6" s="11">
        <v>16669.7</v>
      </c>
      <c r="CA6" s="14">
        <f t="shared" ref="CA6:CA54" si="38">BZ6/BX6*100</f>
        <v>104.97093883616809</v>
      </c>
      <c r="CB6" s="11">
        <v>18540</v>
      </c>
      <c r="CC6" s="14">
        <f t="shared" ref="CC6:CC54" si="39">CB6/BZ6*100</f>
        <v>111.21975800404327</v>
      </c>
      <c r="CD6" s="20">
        <f t="shared" si="1"/>
        <v>137.01191353321505</v>
      </c>
    </row>
    <row r="7" spans="1:82" ht="38.25">
      <c r="A7" s="35">
        <f t="shared" ref="A7:A70" si="40">A6+1</f>
        <v>3</v>
      </c>
      <c r="B7" s="7" t="s">
        <v>10</v>
      </c>
      <c r="C7" s="11">
        <v>26766.7</v>
      </c>
      <c r="D7" s="11">
        <v>32532</v>
      </c>
      <c r="E7" s="14">
        <f t="shared" si="2"/>
        <v>121.53907653913258</v>
      </c>
      <c r="F7" s="11">
        <v>34022.07</v>
      </c>
      <c r="G7" s="18">
        <f t="shared" si="0"/>
        <v>104.58032091479159</v>
      </c>
      <c r="H7" s="11">
        <v>31969.3</v>
      </c>
      <c r="I7" s="14">
        <f t="shared" si="3"/>
        <v>93.966357720150469</v>
      </c>
      <c r="J7" s="11">
        <v>32158</v>
      </c>
      <c r="K7" s="14">
        <f t="shared" si="4"/>
        <v>100.59025377471511</v>
      </c>
      <c r="L7" s="11">
        <v>33715.5</v>
      </c>
      <c r="M7" s="11">
        <f t="shared" si="5"/>
        <v>104.84327383543753</v>
      </c>
      <c r="N7" s="11">
        <v>49088.9</v>
      </c>
      <c r="O7" s="11">
        <f t="shared" si="6"/>
        <v>145.59742551645388</v>
      </c>
      <c r="P7" s="11">
        <v>49166.9</v>
      </c>
      <c r="Q7" s="11">
        <f t="shared" si="7"/>
        <v>100.15889539182992</v>
      </c>
      <c r="R7" s="11">
        <f t="shared" si="8"/>
        <v>183.68681981716088</v>
      </c>
      <c r="S7" s="11">
        <v>13967.2</v>
      </c>
      <c r="T7" s="11">
        <v>15990.7</v>
      </c>
      <c r="U7" s="14">
        <f t="shared" si="9"/>
        <v>114.48751360329916</v>
      </c>
      <c r="V7" s="11">
        <v>16295.12</v>
      </c>
      <c r="W7" s="14">
        <f t="shared" si="10"/>
        <v>101.90373154395994</v>
      </c>
      <c r="X7" s="11">
        <v>17628.689999999999</v>
      </c>
      <c r="Y7" s="14">
        <f t="shared" si="11"/>
        <v>108.18386118052521</v>
      </c>
      <c r="Z7" s="11">
        <v>18526.5</v>
      </c>
      <c r="AA7" s="14">
        <f t="shared" si="12"/>
        <v>105.09289119044014</v>
      </c>
      <c r="AB7" s="11">
        <v>19152.900000000001</v>
      </c>
      <c r="AC7" s="14">
        <f t="shared" si="13"/>
        <v>103.38110274471704</v>
      </c>
      <c r="AD7" s="11">
        <v>24943</v>
      </c>
      <c r="AE7" s="14">
        <f t="shared" si="14"/>
        <v>130.23093108615404</v>
      </c>
      <c r="AF7" s="11">
        <v>25680.2</v>
      </c>
      <c r="AG7" s="14">
        <f t="shared" si="15"/>
        <v>102.95553862807201</v>
      </c>
      <c r="AH7" s="14">
        <f t="shared" si="16"/>
        <v>95.940851879387452</v>
      </c>
      <c r="AI7" s="11">
        <v>9375.6</v>
      </c>
      <c r="AJ7" s="11">
        <v>10605.8</v>
      </c>
      <c r="AK7" s="14">
        <f t="shared" si="17"/>
        <v>113.12129357054481</v>
      </c>
      <c r="AL7" s="11">
        <v>11110.21</v>
      </c>
      <c r="AM7" s="14">
        <f t="shared" si="18"/>
        <v>104.75598257557186</v>
      </c>
      <c r="AN7" s="11">
        <v>10735.14</v>
      </c>
      <c r="AO7" s="14">
        <f t="shared" si="19"/>
        <v>96.624096214202964</v>
      </c>
      <c r="AP7" s="11">
        <v>11065</v>
      </c>
      <c r="AQ7" s="14">
        <f t="shared" si="20"/>
        <v>103.07271260551796</v>
      </c>
      <c r="AR7" s="11">
        <v>12965.8</v>
      </c>
      <c r="AS7" s="14">
        <f t="shared" si="21"/>
        <v>117.17849073655671</v>
      </c>
      <c r="AT7" s="11">
        <v>24665.599999999999</v>
      </c>
      <c r="AU7" s="14">
        <f t="shared" si="22"/>
        <v>190.23585123941447</v>
      </c>
      <c r="AV7" s="11">
        <v>23924.2</v>
      </c>
      <c r="AW7" s="14">
        <f t="shared" si="23"/>
        <v>96.994194343539192</v>
      </c>
      <c r="AX7" s="14">
        <f t="shared" si="24"/>
        <v>255.17513545799738</v>
      </c>
      <c r="AY7" s="11">
        <v>14392</v>
      </c>
      <c r="AZ7" s="11">
        <v>14437.9</v>
      </c>
      <c r="BA7" s="14">
        <f t="shared" si="25"/>
        <v>100.31892718176765</v>
      </c>
      <c r="BB7" s="11">
        <v>14204.1</v>
      </c>
      <c r="BC7" s="14">
        <f t="shared" si="26"/>
        <v>98.380650925688641</v>
      </c>
      <c r="BD7" s="11">
        <v>14462.78</v>
      </c>
      <c r="BE7" s="14">
        <f t="shared" si="27"/>
        <v>101.82116431171282</v>
      </c>
      <c r="BF7" s="11">
        <v>14956.8</v>
      </c>
      <c r="BG7" s="14">
        <f t="shared" si="28"/>
        <v>103.41580249440287</v>
      </c>
      <c r="BH7" s="11">
        <v>14903.1</v>
      </c>
      <c r="BI7" s="14">
        <f t="shared" si="29"/>
        <v>99.640965982028249</v>
      </c>
      <c r="BJ7" s="11">
        <f>45933.2/244.2/12*1000</f>
        <v>15674.720174720173</v>
      </c>
      <c r="BK7" s="14">
        <f t="shared" si="30"/>
        <v>105.17758167575988</v>
      </c>
      <c r="BL7" s="11">
        <f>12818.3/261.9/3*1000</f>
        <v>16314.496627211405</v>
      </c>
      <c r="BM7" s="14">
        <f t="shared" si="31"/>
        <v>104.08158133197843</v>
      </c>
      <c r="BN7" s="14">
        <f t="shared" si="32"/>
        <v>113.35809218462623</v>
      </c>
      <c r="BO7" s="11">
        <v>15250</v>
      </c>
      <c r="BP7" s="11">
        <v>17356.830000000002</v>
      </c>
      <c r="BQ7" s="14">
        <f t="shared" si="33"/>
        <v>113.81527868852461</v>
      </c>
      <c r="BR7" s="11">
        <v>18216.04</v>
      </c>
      <c r="BS7" s="14">
        <f t="shared" si="34"/>
        <v>104.95027029705308</v>
      </c>
      <c r="BT7" s="11">
        <v>17307.330000000002</v>
      </c>
      <c r="BU7" s="14">
        <f t="shared" si="35"/>
        <v>95.01148438409227</v>
      </c>
      <c r="BV7" s="11">
        <v>18683.04</v>
      </c>
      <c r="BW7" s="14">
        <f t="shared" si="36"/>
        <v>107.94871305972671</v>
      </c>
      <c r="BX7" s="11">
        <v>19377.86</v>
      </c>
      <c r="BY7" s="14">
        <f t="shared" si="37"/>
        <v>103.7189879163134</v>
      </c>
      <c r="BZ7" s="11">
        <v>20298.310000000001</v>
      </c>
      <c r="CA7" s="14">
        <f t="shared" si="38"/>
        <v>104.75000851487212</v>
      </c>
      <c r="CB7" s="11">
        <v>20903.45</v>
      </c>
      <c r="CC7" s="14">
        <f t="shared" si="39"/>
        <v>102.98123341302798</v>
      </c>
      <c r="CD7" s="20">
        <f t="shared" si="1"/>
        <v>137.07180327868852</v>
      </c>
    </row>
    <row r="8" spans="1:82" ht="51">
      <c r="A8" s="35">
        <f t="shared" si="40"/>
        <v>4</v>
      </c>
      <c r="B8" s="7" t="s">
        <v>11</v>
      </c>
      <c r="C8" s="11">
        <v>25094.799999999999</v>
      </c>
      <c r="D8" s="11">
        <v>34466.300000000003</v>
      </c>
      <c r="E8" s="14">
        <f t="shared" si="2"/>
        <v>137.34439007284379</v>
      </c>
      <c r="F8" s="11">
        <v>44796.7</v>
      </c>
      <c r="G8" s="18">
        <f t="shared" si="0"/>
        <v>129.97246585795398</v>
      </c>
      <c r="H8" s="11">
        <v>41912.17</v>
      </c>
      <c r="I8" s="14">
        <f t="shared" si="3"/>
        <v>93.560842651356012</v>
      </c>
      <c r="J8" s="11">
        <v>41858.300000000003</v>
      </c>
      <c r="K8" s="14">
        <f t="shared" si="4"/>
        <v>99.871469313089747</v>
      </c>
      <c r="L8" s="11">
        <v>41192.5</v>
      </c>
      <c r="M8" s="11">
        <f t="shared" si="5"/>
        <v>98.409395508178775</v>
      </c>
      <c r="N8" s="11">
        <v>50586.5</v>
      </c>
      <c r="O8" s="11">
        <f t="shared" si="6"/>
        <v>122.8051222916793</v>
      </c>
      <c r="P8" s="11">
        <v>47487.9</v>
      </c>
      <c r="Q8" s="11">
        <f t="shared" si="7"/>
        <v>93.874650351378335</v>
      </c>
      <c r="R8" s="11">
        <f t="shared" si="8"/>
        <v>189.2340245787972</v>
      </c>
      <c r="S8" s="11">
        <v>16550.8</v>
      </c>
      <c r="T8" s="11">
        <v>21495.8</v>
      </c>
      <c r="U8" s="14">
        <f t="shared" si="9"/>
        <v>129.87770983879935</v>
      </c>
      <c r="V8" s="11">
        <v>23191.02</v>
      </c>
      <c r="W8" s="14">
        <f t="shared" si="10"/>
        <v>107.8862847626048</v>
      </c>
      <c r="X8" s="11">
        <v>22206.04</v>
      </c>
      <c r="Y8" s="14">
        <f t="shared" si="11"/>
        <v>95.752752574056686</v>
      </c>
      <c r="Z8" s="11">
        <v>22322.7</v>
      </c>
      <c r="AA8" s="14">
        <f t="shared" si="12"/>
        <v>100.52535256173545</v>
      </c>
      <c r="AB8" s="11">
        <v>22388.3</v>
      </c>
      <c r="AC8" s="14">
        <f t="shared" si="13"/>
        <v>100.29387126109297</v>
      </c>
      <c r="AD8" s="11">
        <v>26571.200000000001</v>
      </c>
      <c r="AE8" s="14">
        <f t="shared" si="14"/>
        <v>118.68341946463107</v>
      </c>
      <c r="AF8" s="11">
        <v>25295.200000000001</v>
      </c>
      <c r="AG8" s="14">
        <f t="shared" si="15"/>
        <v>95.197808153188419</v>
      </c>
      <c r="AH8" s="14">
        <f t="shared" si="16"/>
        <v>100.79857181567498</v>
      </c>
      <c r="AI8" s="11">
        <v>10118.799999999999</v>
      </c>
      <c r="AJ8" s="11">
        <v>13776.2</v>
      </c>
      <c r="AK8" s="14">
        <f t="shared" si="17"/>
        <v>136.14460212673441</v>
      </c>
      <c r="AL8" s="11">
        <v>12178.66</v>
      </c>
      <c r="AM8" s="14">
        <f t="shared" si="18"/>
        <v>88.403623640771755</v>
      </c>
      <c r="AN8" s="11">
        <v>12394.35</v>
      </c>
      <c r="AO8" s="14">
        <f t="shared" si="19"/>
        <v>101.77104870322351</v>
      </c>
      <c r="AP8" s="11">
        <v>11883</v>
      </c>
      <c r="AQ8" s="14">
        <f t="shared" si="20"/>
        <v>95.874329835771945</v>
      </c>
      <c r="AR8" s="11">
        <v>13560.5</v>
      </c>
      <c r="AS8" s="14">
        <f t="shared" si="21"/>
        <v>114.11680552049145</v>
      </c>
      <c r="AT8" s="11">
        <v>29035.7</v>
      </c>
      <c r="AU8" s="14">
        <f t="shared" si="22"/>
        <v>214.11968585229158</v>
      </c>
      <c r="AV8" s="11">
        <v>0</v>
      </c>
      <c r="AW8" s="14">
        <f t="shared" si="23"/>
        <v>0</v>
      </c>
      <c r="AX8" s="14">
        <f t="shared" si="24"/>
        <v>0</v>
      </c>
      <c r="AY8" s="11">
        <v>29995.8</v>
      </c>
      <c r="AZ8" s="11">
        <v>32004.2</v>
      </c>
      <c r="BA8" s="14">
        <f t="shared" si="25"/>
        <v>106.69560405123384</v>
      </c>
      <c r="BB8" s="11">
        <v>26505.23</v>
      </c>
      <c r="BC8" s="14">
        <f t="shared" si="26"/>
        <v>82.817973890926808</v>
      </c>
      <c r="BD8" s="11">
        <v>25463.18</v>
      </c>
      <c r="BE8" s="14">
        <f t="shared" si="27"/>
        <v>96.068511761641005</v>
      </c>
      <c r="BF8" s="11">
        <v>25248.400000000001</v>
      </c>
      <c r="BG8" s="14">
        <f t="shared" si="28"/>
        <v>99.15650755325926</v>
      </c>
      <c r="BH8" s="11">
        <v>22234.9</v>
      </c>
      <c r="BI8" s="14">
        <f t="shared" si="29"/>
        <v>88.064590231460215</v>
      </c>
      <c r="BJ8" s="11">
        <f>23714.1/97/12*1000</f>
        <v>20372.938144329895</v>
      </c>
      <c r="BK8" s="14">
        <f t="shared" si="30"/>
        <v>91.625949045554037</v>
      </c>
      <c r="BL8" s="11">
        <f>5995.9/99.6/3*1000</f>
        <v>20066.599732262381</v>
      </c>
      <c r="BM8" s="14">
        <f t="shared" si="31"/>
        <v>98.496346428299674</v>
      </c>
      <c r="BN8" s="14">
        <f t="shared" si="32"/>
        <v>66.898031498617755</v>
      </c>
      <c r="BO8" s="11">
        <v>37916.26</v>
      </c>
      <c r="BP8" s="11">
        <v>46704.639999999999</v>
      </c>
      <c r="BQ8" s="14">
        <f t="shared" si="33"/>
        <v>123.17839364958462</v>
      </c>
      <c r="BR8" s="11">
        <v>45521.13</v>
      </c>
      <c r="BS8" s="14">
        <f t="shared" si="34"/>
        <v>97.465969119984649</v>
      </c>
      <c r="BT8" s="11">
        <v>41615.760000000002</v>
      </c>
      <c r="BU8" s="14">
        <f t="shared" si="35"/>
        <v>91.420753395181549</v>
      </c>
      <c r="BV8" s="11">
        <v>39804.78</v>
      </c>
      <c r="BW8" s="14">
        <f t="shared" si="36"/>
        <v>95.648331305255496</v>
      </c>
      <c r="BX8" s="11">
        <v>37828.449999999997</v>
      </c>
      <c r="BY8" s="14">
        <f t="shared" si="37"/>
        <v>95.034943039504299</v>
      </c>
      <c r="BZ8" s="11">
        <v>39326.47</v>
      </c>
      <c r="CA8" s="14">
        <f t="shared" si="38"/>
        <v>103.96003537020417</v>
      </c>
      <c r="CB8" s="11">
        <v>37714.29</v>
      </c>
      <c r="CC8" s="14">
        <f t="shared" si="39"/>
        <v>95.900521963959633</v>
      </c>
      <c r="CD8" s="20">
        <f t="shared" si="1"/>
        <v>99.467326155058544</v>
      </c>
    </row>
    <row r="9" spans="1:82" ht="51">
      <c r="A9" s="35">
        <f t="shared" si="40"/>
        <v>5</v>
      </c>
      <c r="B9" s="7" t="s">
        <v>12</v>
      </c>
      <c r="C9" s="11">
        <v>27661.200000000001</v>
      </c>
      <c r="D9" s="11">
        <v>31789.7</v>
      </c>
      <c r="E9" s="14">
        <f t="shared" si="2"/>
        <v>114.92523823984497</v>
      </c>
      <c r="F9" s="11">
        <v>26859.09</v>
      </c>
      <c r="G9" s="18">
        <f t="shared" si="0"/>
        <v>84.489913399623148</v>
      </c>
      <c r="H9" s="11">
        <v>28409.200000000001</v>
      </c>
      <c r="I9" s="14">
        <f t="shared" si="3"/>
        <v>105.77126775330066</v>
      </c>
      <c r="J9" s="11">
        <v>21810</v>
      </c>
      <c r="K9" s="14">
        <f t="shared" si="4"/>
        <v>76.770905199724027</v>
      </c>
      <c r="L9" s="11">
        <v>29112.799999999999</v>
      </c>
      <c r="M9" s="11">
        <f t="shared" si="5"/>
        <v>133.48372306281522</v>
      </c>
      <c r="N9" s="11">
        <v>48844.9</v>
      </c>
      <c r="O9" s="11">
        <f t="shared" si="6"/>
        <v>167.77809073672063</v>
      </c>
      <c r="P9" s="11">
        <v>48734.1</v>
      </c>
      <c r="Q9" s="11">
        <f t="shared" si="7"/>
        <v>99.773159531496631</v>
      </c>
      <c r="R9" s="11">
        <f t="shared" si="8"/>
        <v>176.18216129452085</v>
      </c>
      <c r="S9" s="11">
        <v>16051.6</v>
      </c>
      <c r="T9" s="11">
        <v>22145.7</v>
      </c>
      <c r="U9" s="14">
        <f t="shared" si="9"/>
        <v>137.96568566373446</v>
      </c>
      <c r="V9" s="11">
        <v>21095.95</v>
      </c>
      <c r="W9" s="14">
        <f t="shared" si="10"/>
        <v>95.259802128629929</v>
      </c>
      <c r="X9" s="11">
        <v>19664.240000000002</v>
      </c>
      <c r="Y9" s="14">
        <f t="shared" si="11"/>
        <v>93.213341897378413</v>
      </c>
      <c r="Z9" s="11">
        <v>18159.8</v>
      </c>
      <c r="AA9" s="14">
        <f t="shared" si="12"/>
        <v>92.349361073705353</v>
      </c>
      <c r="AB9" s="11">
        <v>18589.099999999999</v>
      </c>
      <c r="AC9" s="14">
        <f t="shared" si="13"/>
        <v>102.36401281952443</v>
      </c>
      <c r="AD9" s="11">
        <v>24367.200000000001</v>
      </c>
      <c r="AE9" s="14">
        <f t="shared" si="14"/>
        <v>131.08326922766568</v>
      </c>
      <c r="AF9" s="11">
        <v>26609.8</v>
      </c>
      <c r="AG9" s="14">
        <f t="shared" si="15"/>
        <v>109.2033553301159</v>
      </c>
      <c r="AH9" s="14">
        <f t="shared" si="16"/>
        <v>96.199007996760798</v>
      </c>
      <c r="AI9" s="11">
        <v>9761.7000000000007</v>
      </c>
      <c r="AJ9" s="11">
        <v>10054.200000000001</v>
      </c>
      <c r="AK9" s="14">
        <f t="shared" si="17"/>
        <v>102.99640431482221</v>
      </c>
      <c r="AL9" s="11">
        <v>11529.17</v>
      </c>
      <c r="AM9" s="14">
        <f t="shared" si="18"/>
        <v>114.67018758329853</v>
      </c>
      <c r="AN9" s="11">
        <v>10715.6</v>
      </c>
      <c r="AO9" s="14">
        <f t="shared" si="19"/>
        <v>92.94337753715142</v>
      </c>
      <c r="AP9" s="11">
        <v>9965.2000000000007</v>
      </c>
      <c r="AQ9" s="14">
        <f t="shared" si="20"/>
        <v>92.997125685915861</v>
      </c>
      <c r="AR9" s="11">
        <v>10267.700000000001</v>
      </c>
      <c r="AS9" s="14">
        <f t="shared" si="21"/>
        <v>103.03556376189138</v>
      </c>
      <c r="AT9" s="11">
        <v>24367.3</v>
      </c>
      <c r="AU9" s="14">
        <f t="shared" si="22"/>
        <v>237.31994507046369</v>
      </c>
      <c r="AV9" s="11">
        <v>23774.799999999999</v>
      </c>
      <c r="AW9" s="14">
        <f t="shared" si="23"/>
        <v>97.568462652817502</v>
      </c>
      <c r="AX9" s="14">
        <f t="shared" si="24"/>
        <v>243.55184035567575</v>
      </c>
      <c r="AY9" s="11">
        <v>20646.099999999999</v>
      </c>
      <c r="AZ9" s="11">
        <v>20447.2</v>
      </c>
      <c r="BA9" s="14">
        <f t="shared" si="25"/>
        <v>99.036621928596688</v>
      </c>
      <c r="BB9" s="11">
        <v>17162.7</v>
      </c>
      <c r="BC9" s="14">
        <f t="shared" si="26"/>
        <v>83.936675926288189</v>
      </c>
      <c r="BD9" s="11">
        <v>19820.150000000001</v>
      </c>
      <c r="BE9" s="14">
        <f t="shared" si="27"/>
        <v>115.48386908819708</v>
      </c>
      <c r="BF9" s="11">
        <v>24956.6</v>
      </c>
      <c r="BG9" s="14">
        <f t="shared" si="28"/>
        <v>125.91529327477338</v>
      </c>
      <c r="BH9" s="11">
        <v>17822.599999999999</v>
      </c>
      <c r="BI9" s="14">
        <f t="shared" si="29"/>
        <v>71.414375355617352</v>
      </c>
      <c r="BJ9" s="11">
        <f>6078.2/24/12*1000</f>
        <v>21104.861111111109</v>
      </c>
      <c r="BK9" s="14">
        <f t="shared" si="30"/>
        <v>118.41628668718994</v>
      </c>
      <c r="BL9" s="11">
        <f>1642.8/24.7/3*1000</f>
        <v>22170.040485829959</v>
      </c>
      <c r="BM9" s="14">
        <f t="shared" si="31"/>
        <v>105.04708071335311</v>
      </c>
      <c r="BN9" s="14">
        <f t="shared" si="32"/>
        <v>107.38125111197738</v>
      </c>
      <c r="BO9" s="11">
        <v>25125.25</v>
      </c>
      <c r="BP9" s="11">
        <v>25252.16</v>
      </c>
      <c r="BQ9" s="14">
        <f t="shared" si="33"/>
        <v>100.5051094018965</v>
      </c>
      <c r="BR9" s="11">
        <v>27047.22</v>
      </c>
      <c r="BS9" s="14">
        <f t="shared" si="34"/>
        <v>107.10854041792861</v>
      </c>
      <c r="BT9" s="11">
        <v>26124.07</v>
      </c>
      <c r="BU9" s="14">
        <f t="shared" si="35"/>
        <v>96.586895067219473</v>
      </c>
      <c r="BV9" s="11">
        <v>29910.58</v>
      </c>
      <c r="BW9" s="14">
        <f t="shared" si="36"/>
        <v>114.49433415237367</v>
      </c>
      <c r="BX9" s="11">
        <v>26572</v>
      </c>
      <c r="BY9" s="14">
        <f t="shared" si="37"/>
        <v>88.838130186709847</v>
      </c>
      <c r="BZ9" s="11">
        <v>30571.64</v>
      </c>
      <c r="CA9" s="14">
        <f t="shared" si="38"/>
        <v>115.05208490139998</v>
      </c>
      <c r="CB9" s="11">
        <v>30569.3</v>
      </c>
      <c r="CC9" s="14">
        <f t="shared" si="39"/>
        <v>99.992345847327783</v>
      </c>
      <c r="CD9" s="20">
        <f t="shared" si="1"/>
        <v>121.66764509805871</v>
      </c>
    </row>
    <row r="10" spans="1:82" ht="38.25">
      <c r="A10" s="35">
        <f t="shared" si="40"/>
        <v>6</v>
      </c>
      <c r="B10" s="7" t="s">
        <v>13</v>
      </c>
      <c r="C10" s="11">
        <v>31675.5</v>
      </c>
      <c r="D10" s="11">
        <v>30655.7</v>
      </c>
      <c r="E10" s="14">
        <f t="shared" si="2"/>
        <v>96.780477024829921</v>
      </c>
      <c r="F10" s="11">
        <v>34473.21</v>
      </c>
      <c r="G10" s="18">
        <f t="shared" si="0"/>
        <v>112.4528554232981</v>
      </c>
      <c r="H10" s="11">
        <v>33771.760000000002</v>
      </c>
      <c r="I10" s="14">
        <f t="shared" si="3"/>
        <v>97.965231552269145</v>
      </c>
      <c r="J10" s="11">
        <v>33568.1</v>
      </c>
      <c r="K10" s="14">
        <f t="shared" si="4"/>
        <v>99.39695177272371</v>
      </c>
      <c r="L10" s="11">
        <v>33814.6</v>
      </c>
      <c r="M10" s="11">
        <f t="shared" si="5"/>
        <v>100.73432812700153</v>
      </c>
      <c r="N10" s="11">
        <v>48982.7</v>
      </c>
      <c r="O10" s="11">
        <f t="shared" si="6"/>
        <v>144.85665954942539</v>
      </c>
      <c r="P10" s="11">
        <v>50145.3</v>
      </c>
      <c r="Q10" s="11">
        <f t="shared" si="7"/>
        <v>102.37349104888054</v>
      </c>
      <c r="R10" s="11">
        <f t="shared" si="8"/>
        <v>158.30941895155564</v>
      </c>
      <c r="S10" s="11">
        <v>14837.6</v>
      </c>
      <c r="T10" s="11">
        <v>15445.7</v>
      </c>
      <c r="U10" s="14">
        <f t="shared" si="9"/>
        <v>104.09837170431877</v>
      </c>
      <c r="V10" s="11">
        <v>19081.25</v>
      </c>
      <c r="W10" s="14">
        <f t="shared" si="10"/>
        <v>123.53761888422019</v>
      </c>
      <c r="X10" s="11">
        <v>20140.96</v>
      </c>
      <c r="Y10" s="14">
        <f t="shared" si="11"/>
        <v>105.55367179823125</v>
      </c>
      <c r="Z10" s="11">
        <v>20972</v>
      </c>
      <c r="AA10" s="14">
        <f t="shared" si="12"/>
        <v>104.12611911249515</v>
      </c>
      <c r="AB10" s="11">
        <v>21984.6</v>
      </c>
      <c r="AC10" s="14">
        <f t="shared" si="13"/>
        <v>104.82834255197406</v>
      </c>
      <c r="AD10" s="11">
        <v>25710.2</v>
      </c>
      <c r="AE10" s="14">
        <f t="shared" si="14"/>
        <v>116.94640794010354</v>
      </c>
      <c r="AF10" s="11">
        <v>27289.4</v>
      </c>
      <c r="AG10" s="14">
        <f t="shared" si="15"/>
        <v>106.14230927802974</v>
      </c>
      <c r="AH10" s="14">
        <f t="shared" si="16"/>
        <v>86.153020473236424</v>
      </c>
      <c r="AI10" s="11">
        <v>8600.7000000000007</v>
      </c>
      <c r="AJ10" s="11">
        <v>8144.7</v>
      </c>
      <c r="AK10" s="14">
        <f t="shared" si="17"/>
        <v>94.698105968118867</v>
      </c>
      <c r="AL10" s="11">
        <v>13278.95</v>
      </c>
      <c r="AM10" s="14">
        <f t="shared" si="18"/>
        <v>163.03792650435253</v>
      </c>
      <c r="AN10" s="11">
        <v>14051.85</v>
      </c>
      <c r="AO10" s="14">
        <f t="shared" si="19"/>
        <v>105.82049032491274</v>
      </c>
      <c r="AP10" s="11">
        <v>12958.7</v>
      </c>
      <c r="AQ10" s="14">
        <f t="shared" si="20"/>
        <v>92.220597287901597</v>
      </c>
      <c r="AR10" s="11">
        <v>16240</v>
      </c>
      <c r="AS10" s="14">
        <f t="shared" si="21"/>
        <v>125.3212127759729</v>
      </c>
      <c r="AT10" s="11">
        <v>24372</v>
      </c>
      <c r="AU10" s="14">
        <f t="shared" si="22"/>
        <v>150.07389162561577</v>
      </c>
      <c r="AV10" s="11">
        <v>24468.3</v>
      </c>
      <c r="AW10" s="14">
        <f t="shared" si="23"/>
        <v>100.39512555391433</v>
      </c>
      <c r="AX10" s="14">
        <f t="shared" si="24"/>
        <v>284.49195995674768</v>
      </c>
      <c r="AY10" s="11">
        <v>18854.2</v>
      </c>
      <c r="AZ10" s="11">
        <v>23301.9</v>
      </c>
      <c r="BA10" s="14">
        <f t="shared" si="25"/>
        <v>123.58996934370062</v>
      </c>
      <c r="BB10" s="11">
        <v>20755.21</v>
      </c>
      <c r="BC10" s="14">
        <f t="shared" si="26"/>
        <v>89.070891214879467</v>
      </c>
      <c r="BD10" s="11">
        <v>23916.67</v>
      </c>
      <c r="BE10" s="14">
        <f t="shared" si="27"/>
        <v>115.23212725864975</v>
      </c>
      <c r="BF10" s="11">
        <v>25133.3</v>
      </c>
      <c r="BG10" s="14">
        <f t="shared" si="28"/>
        <v>105.08695399484962</v>
      </c>
      <c r="BH10" s="11">
        <v>24940.3</v>
      </c>
      <c r="BI10" s="14">
        <f t="shared" si="29"/>
        <v>99.232094472273829</v>
      </c>
      <c r="BJ10" s="11">
        <f>4236.6/15.2/12*1000</f>
        <v>23226.97368421053</v>
      </c>
      <c r="BK10" s="14">
        <f t="shared" si="30"/>
        <v>93.130289869049406</v>
      </c>
      <c r="BL10" s="11">
        <f>1180.7/16.3/3*1000</f>
        <v>24145.194274028629</v>
      </c>
      <c r="BM10" s="14">
        <f t="shared" si="31"/>
        <v>103.95325108773123</v>
      </c>
      <c r="BN10" s="14">
        <f t="shared" si="32"/>
        <v>128.0626824475641</v>
      </c>
      <c r="BO10" s="11">
        <v>20413.330000000002</v>
      </c>
      <c r="BP10" s="11">
        <v>25478.89</v>
      </c>
      <c r="BQ10" s="14">
        <f t="shared" si="33"/>
        <v>124.81496159617269</v>
      </c>
      <c r="BR10" s="11">
        <v>27412.5</v>
      </c>
      <c r="BS10" s="14">
        <f t="shared" si="34"/>
        <v>107.58906687065253</v>
      </c>
      <c r="BT10" s="11">
        <v>23481.25</v>
      </c>
      <c r="BU10" s="14">
        <f t="shared" si="35"/>
        <v>85.658914728682163</v>
      </c>
      <c r="BV10" s="11">
        <v>27644.79</v>
      </c>
      <c r="BW10" s="14">
        <f t="shared" si="36"/>
        <v>117.73133883417621</v>
      </c>
      <c r="BX10" s="11">
        <v>29064.58</v>
      </c>
      <c r="BY10" s="14">
        <f t="shared" si="37"/>
        <v>105.13583210434949</v>
      </c>
      <c r="BZ10" s="11">
        <v>25413.33</v>
      </c>
      <c r="CA10" s="14">
        <f t="shared" si="38"/>
        <v>87.437458239547922</v>
      </c>
      <c r="CB10" s="11">
        <v>28953.33</v>
      </c>
      <c r="CC10" s="14">
        <f t="shared" si="39"/>
        <v>113.92969752488162</v>
      </c>
      <c r="CD10" s="20">
        <f t="shared" si="1"/>
        <v>141.83540852962255</v>
      </c>
    </row>
    <row r="11" spans="1:82" ht="25.5">
      <c r="A11" s="35">
        <f t="shared" si="40"/>
        <v>7</v>
      </c>
      <c r="B11" s="7" t="s">
        <v>14</v>
      </c>
      <c r="C11" s="11">
        <v>30155.3</v>
      </c>
      <c r="D11" s="11">
        <v>41901.4</v>
      </c>
      <c r="E11" s="14">
        <f t="shared" si="2"/>
        <v>138.95202501716116</v>
      </c>
      <c r="F11" s="11">
        <v>43801.11</v>
      </c>
      <c r="G11" s="18">
        <f t="shared" si="0"/>
        <v>104.53376259504455</v>
      </c>
      <c r="H11" s="11">
        <v>39570.15</v>
      </c>
      <c r="I11" s="14">
        <f t="shared" si="3"/>
        <v>90.340518767675064</v>
      </c>
      <c r="J11" s="11">
        <v>48833.9</v>
      </c>
      <c r="K11" s="14">
        <f t="shared" si="4"/>
        <v>123.410954974899</v>
      </c>
      <c r="L11" s="11">
        <v>49689</v>
      </c>
      <c r="M11" s="11">
        <f t="shared" si="5"/>
        <v>101.75103770126898</v>
      </c>
      <c r="N11" s="11">
        <v>58571</v>
      </c>
      <c r="O11" s="11">
        <f t="shared" si="6"/>
        <v>117.87518364225483</v>
      </c>
      <c r="P11" s="11">
        <v>61696.2</v>
      </c>
      <c r="Q11" s="11">
        <f t="shared" si="7"/>
        <v>105.33574635911968</v>
      </c>
      <c r="R11" s="11">
        <f t="shared" si="8"/>
        <v>204.59488050193499</v>
      </c>
      <c r="S11" s="11">
        <v>12742.6</v>
      </c>
      <c r="T11" s="11">
        <v>19052.599999999999</v>
      </c>
      <c r="U11" s="14">
        <f t="shared" si="9"/>
        <v>149.51893648078098</v>
      </c>
      <c r="V11" s="11">
        <v>22741.57</v>
      </c>
      <c r="W11" s="14">
        <f t="shared" si="10"/>
        <v>119.36202932933038</v>
      </c>
      <c r="X11" s="11">
        <v>19901.13</v>
      </c>
      <c r="Y11" s="14">
        <f t="shared" si="11"/>
        <v>87.509921258734551</v>
      </c>
      <c r="Z11" s="11">
        <v>25124.1</v>
      </c>
      <c r="AA11" s="14">
        <f t="shared" si="12"/>
        <v>126.24459013131413</v>
      </c>
      <c r="AB11" s="11">
        <v>25695.3</v>
      </c>
      <c r="AC11" s="14">
        <f t="shared" si="13"/>
        <v>102.27351427513823</v>
      </c>
      <c r="AD11" s="11">
        <v>27139.9</v>
      </c>
      <c r="AE11" s="14">
        <f t="shared" si="14"/>
        <v>105.62203982829546</v>
      </c>
      <c r="AF11" s="11">
        <v>30819.9</v>
      </c>
      <c r="AG11" s="14">
        <f t="shared" si="15"/>
        <v>113.55937199473838</v>
      </c>
      <c r="AH11" s="14">
        <f t="shared" si="16"/>
        <v>102.20392435160652</v>
      </c>
      <c r="AI11" s="11">
        <v>10879.3</v>
      </c>
      <c r="AJ11" s="11">
        <v>13641.5</v>
      </c>
      <c r="AK11" s="14">
        <f t="shared" si="17"/>
        <v>125.38950116275865</v>
      </c>
      <c r="AL11" s="11">
        <v>14168.86</v>
      </c>
      <c r="AM11" s="14">
        <f t="shared" si="18"/>
        <v>103.86585052963385</v>
      </c>
      <c r="AN11" s="11">
        <v>13601.25</v>
      </c>
      <c r="AO11" s="14">
        <f t="shared" si="19"/>
        <v>95.993961405504749</v>
      </c>
      <c r="AP11" s="11">
        <v>13196</v>
      </c>
      <c r="AQ11" s="14">
        <f t="shared" si="20"/>
        <v>97.020494439849287</v>
      </c>
      <c r="AR11" s="11">
        <v>18098.8</v>
      </c>
      <c r="AS11" s="14">
        <f t="shared" si="21"/>
        <v>137.15368293422247</v>
      </c>
      <c r="AT11" s="11">
        <v>25306.2</v>
      </c>
      <c r="AU11" s="14">
        <f t="shared" si="22"/>
        <v>139.8225296704754</v>
      </c>
      <c r="AV11" s="11">
        <v>27213.3</v>
      </c>
      <c r="AW11" s="14">
        <f t="shared" si="23"/>
        <v>107.53609787324845</v>
      </c>
      <c r="AX11" s="14">
        <f t="shared" si="24"/>
        <v>250.13833610618329</v>
      </c>
      <c r="AY11" s="11">
        <v>24765</v>
      </c>
      <c r="AZ11" s="11">
        <v>20532.5</v>
      </c>
      <c r="BA11" s="14">
        <f t="shared" si="25"/>
        <v>82.909347869977793</v>
      </c>
      <c r="BB11" s="11">
        <v>20570</v>
      </c>
      <c r="BC11" s="14">
        <f t="shared" si="26"/>
        <v>100.18263728235723</v>
      </c>
      <c r="BD11" s="11">
        <v>18153.13</v>
      </c>
      <c r="BE11" s="14">
        <f t="shared" si="27"/>
        <v>88.250510452114739</v>
      </c>
      <c r="BF11" s="11">
        <v>18800.400000000001</v>
      </c>
      <c r="BG11" s="14">
        <f t="shared" si="28"/>
        <v>103.56561099931527</v>
      </c>
      <c r="BH11" s="11">
        <v>20883.8</v>
      </c>
      <c r="BI11" s="14">
        <f t="shared" si="29"/>
        <v>111.08167911321034</v>
      </c>
      <c r="BJ11" s="11">
        <f>17267.8/65.4/12*1000</f>
        <v>22002.803261977573</v>
      </c>
      <c r="BK11" s="14">
        <f t="shared" si="30"/>
        <v>105.35823586692831</v>
      </c>
      <c r="BL11" s="11">
        <f>5095.7/68.3/3*1000</f>
        <v>24869.204489995118</v>
      </c>
      <c r="BM11" s="14">
        <f t="shared" si="31"/>
        <v>113.02743652201306</v>
      </c>
      <c r="BN11" s="14">
        <f t="shared" si="32"/>
        <v>100.42077322832674</v>
      </c>
      <c r="BO11" s="11">
        <v>29822.81</v>
      </c>
      <c r="BP11" s="11">
        <v>33193.11</v>
      </c>
      <c r="BQ11" s="14">
        <f t="shared" si="33"/>
        <v>111.30108128643812</v>
      </c>
      <c r="BR11" s="11">
        <v>36930.839999999997</v>
      </c>
      <c r="BS11" s="14">
        <f t="shared" si="34"/>
        <v>111.2605597968976</v>
      </c>
      <c r="BT11" s="11">
        <v>37707.599999999999</v>
      </c>
      <c r="BU11" s="14">
        <f t="shared" si="35"/>
        <v>102.1032827847945</v>
      </c>
      <c r="BV11" s="11">
        <v>36448.65</v>
      </c>
      <c r="BW11" s="14">
        <f t="shared" si="36"/>
        <v>96.661283136556037</v>
      </c>
      <c r="BX11" s="11">
        <v>39821.26</v>
      </c>
      <c r="BY11" s="14">
        <f t="shared" si="37"/>
        <v>109.25304503733335</v>
      </c>
      <c r="BZ11" s="11">
        <v>41186.01</v>
      </c>
      <c r="CA11" s="14">
        <f t="shared" si="38"/>
        <v>103.4271893958152</v>
      </c>
      <c r="CB11" s="11">
        <v>41631.480000000003</v>
      </c>
      <c r="CC11" s="14">
        <f t="shared" si="39"/>
        <v>101.08160513727842</v>
      </c>
      <c r="CD11" s="20">
        <f t="shared" si="1"/>
        <v>139.59610110516078</v>
      </c>
    </row>
    <row r="12" spans="1:82" ht="38.25">
      <c r="A12" s="35">
        <f t="shared" si="40"/>
        <v>8</v>
      </c>
      <c r="B12" s="7" t="s">
        <v>15</v>
      </c>
      <c r="C12" s="11">
        <v>36192.6</v>
      </c>
      <c r="D12" s="11">
        <v>37411.599999999999</v>
      </c>
      <c r="E12" s="14">
        <f t="shared" si="2"/>
        <v>103.36809181987479</v>
      </c>
      <c r="F12" s="11">
        <v>33819.75</v>
      </c>
      <c r="G12" s="18">
        <f t="shared" si="0"/>
        <v>90.399100813651387</v>
      </c>
      <c r="H12" s="11">
        <v>32119.37</v>
      </c>
      <c r="I12" s="14">
        <f t="shared" si="3"/>
        <v>94.972227766319975</v>
      </c>
      <c r="J12" s="11">
        <v>34799.699999999997</v>
      </c>
      <c r="K12" s="14">
        <f t="shared" si="4"/>
        <v>108.34490215717183</v>
      </c>
      <c r="L12" s="11">
        <v>34811.1</v>
      </c>
      <c r="M12" s="11">
        <f t="shared" si="5"/>
        <v>100.03275890309399</v>
      </c>
      <c r="N12" s="11">
        <v>48790</v>
      </c>
      <c r="O12" s="11">
        <f t="shared" si="6"/>
        <v>140.15644435251974</v>
      </c>
      <c r="P12" s="11">
        <v>45745.599999999999</v>
      </c>
      <c r="Q12" s="11">
        <f t="shared" si="7"/>
        <v>93.760196761631477</v>
      </c>
      <c r="R12" s="11">
        <f t="shared" si="8"/>
        <v>126.39489840464626</v>
      </c>
      <c r="S12" s="11">
        <v>17888.8</v>
      </c>
      <c r="T12" s="11">
        <v>20286.3</v>
      </c>
      <c r="U12" s="14">
        <f t="shared" si="9"/>
        <v>113.40224050802736</v>
      </c>
      <c r="V12" s="11">
        <v>19983.02</v>
      </c>
      <c r="W12" s="14">
        <f t="shared" si="10"/>
        <v>98.505000911945501</v>
      </c>
      <c r="X12" s="11">
        <v>18848.02</v>
      </c>
      <c r="Y12" s="14">
        <f t="shared" si="11"/>
        <v>94.320177830978508</v>
      </c>
      <c r="Z12" s="11">
        <v>19745.5</v>
      </c>
      <c r="AA12" s="14">
        <f t="shared" si="12"/>
        <v>104.76166727327328</v>
      </c>
      <c r="AB12" s="11">
        <v>19875</v>
      </c>
      <c r="AC12" s="14">
        <f t="shared" si="13"/>
        <v>100.65584563571446</v>
      </c>
      <c r="AD12" s="11">
        <v>24361.5</v>
      </c>
      <c r="AE12" s="14">
        <f t="shared" si="14"/>
        <v>122.57358490566037</v>
      </c>
      <c r="AF12" s="11">
        <v>24582.6</v>
      </c>
      <c r="AG12" s="14">
        <f t="shared" si="15"/>
        <v>100.90757958253802</v>
      </c>
      <c r="AH12" s="14">
        <f t="shared" si="16"/>
        <v>67.921619336549455</v>
      </c>
      <c r="AI12" s="11">
        <v>10096</v>
      </c>
      <c r="AJ12" s="11">
        <v>11140</v>
      </c>
      <c r="AK12" s="14">
        <f t="shared" si="17"/>
        <v>110.34072900158478</v>
      </c>
      <c r="AL12" s="11">
        <v>10689.17</v>
      </c>
      <c r="AM12" s="14">
        <f t="shared" si="18"/>
        <v>95.953052064631962</v>
      </c>
      <c r="AN12" s="11">
        <v>10483.85</v>
      </c>
      <c r="AO12" s="14">
        <f t="shared" si="19"/>
        <v>98.079177335564879</v>
      </c>
      <c r="AP12" s="11">
        <v>11349.7</v>
      </c>
      <c r="AQ12" s="14">
        <f t="shared" si="20"/>
        <v>108.25889344086382</v>
      </c>
      <c r="AR12" s="11">
        <v>13127.4</v>
      </c>
      <c r="AS12" s="14">
        <f t="shared" si="21"/>
        <v>115.66296906526163</v>
      </c>
      <c r="AT12" s="11">
        <v>24442.3</v>
      </c>
      <c r="AU12" s="14">
        <f t="shared" si="22"/>
        <v>186.19300089888324</v>
      </c>
      <c r="AV12" s="11">
        <v>24012.3</v>
      </c>
      <c r="AW12" s="14">
        <f t="shared" si="23"/>
        <v>98.240754757121877</v>
      </c>
      <c r="AX12" s="14">
        <f t="shared" si="24"/>
        <v>237.83973851030109</v>
      </c>
      <c r="AY12" s="11">
        <v>15800.6</v>
      </c>
      <c r="AZ12" s="11">
        <v>15083.3</v>
      </c>
      <c r="BA12" s="14">
        <f t="shared" si="25"/>
        <v>95.460298975988252</v>
      </c>
      <c r="BB12" s="11">
        <v>14485.95</v>
      </c>
      <c r="BC12" s="14">
        <f t="shared" si="26"/>
        <v>96.039659756154165</v>
      </c>
      <c r="BD12" s="11">
        <v>14797.72</v>
      </c>
      <c r="BE12" s="14">
        <f t="shared" si="27"/>
        <v>102.15222336125693</v>
      </c>
      <c r="BF12" s="11">
        <v>14908.3</v>
      </c>
      <c r="BG12" s="14">
        <f t="shared" si="28"/>
        <v>100.74727728325715</v>
      </c>
      <c r="BH12" s="11">
        <v>15276.2</v>
      </c>
      <c r="BI12" s="14">
        <f t="shared" si="29"/>
        <v>102.46775286249942</v>
      </c>
      <c r="BJ12" s="11">
        <f>18983.2/89.5/12*1000</f>
        <v>17675.232774674118</v>
      </c>
      <c r="BK12" s="14">
        <f t="shared" si="30"/>
        <v>115.7043818140252</v>
      </c>
      <c r="BL12" s="11">
        <f>3938.4/92/3*1000</f>
        <v>14269.565217391306</v>
      </c>
      <c r="BM12" s="14">
        <f t="shared" si="31"/>
        <v>80.731979031344878</v>
      </c>
      <c r="BN12" s="14">
        <f t="shared" si="32"/>
        <v>90.310274403448645</v>
      </c>
      <c r="BO12" s="11">
        <v>19015.07</v>
      </c>
      <c r="BP12" s="11">
        <v>23769.35</v>
      </c>
      <c r="BQ12" s="14">
        <f t="shared" si="33"/>
        <v>125.00269523067755</v>
      </c>
      <c r="BR12" s="11">
        <v>26708.41</v>
      </c>
      <c r="BS12" s="14">
        <f t="shared" si="34"/>
        <v>112.36491532162218</v>
      </c>
      <c r="BT12" s="11">
        <v>26238.52</v>
      </c>
      <c r="BU12" s="14">
        <f t="shared" si="35"/>
        <v>98.240666516651501</v>
      </c>
      <c r="BV12" s="11">
        <v>25219.040000000001</v>
      </c>
      <c r="BW12" s="14">
        <f t="shared" si="36"/>
        <v>96.114567437492667</v>
      </c>
      <c r="BX12" s="11">
        <v>30964.959999999999</v>
      </c>
      <c r="BY12" s="14">
        <f t="shared" si="37"/>
        <v>122.78405522176894</v>
      </c>
      <c r="BZ12" s="11">
        <v>27716.67</v>
      </c>
      <c r="CA12" s="14">
        <f t="shared" si="38"/>
        <v>89.509787837607419</v>
      </c>
      <c r="CB12" s="11">
        <v>26483.33</v>
      </c>
      <c r="CC12" s="14">
        <f t="shared" si="39"/>
        <v>95.550186945257138</v>
      </c>
      <c r="CD12" s="20">
        <f t="shared" si="1"/>
        <v>139.27547992197768</v>
      </c>
    </row>
    <row r="13" spans="1:82" ht="38.25">
      <c r="A13" s="35">
        <f t="shared" si="40"/>
        <v>9</v>
      </c>
      <c r="B13" s="7" t="s">
        <v>16</v>
      </c>
      <c r="C13" s="11">
        <v>20168.5</v>
      </c>
      <c r="D13" s="11">
        <v>40236.800000000003</v>
      </c>
      <c r="E13" s="14">
        <f t="shared" si="2"/>
        <v>199.5031856608077</v>
      </c>
      <c r="F13" s="11">
        <v>34765.97</v>
      </c>
      <c r="G13" s="18">
        <f t="shared" si="0"/>
        <v>86.403416772705583</v>
      </c>
      <c r="H13" s="11">
        <v>33723.120000000003</v>
      </c>
      <c r="I13" s="14">
        <f t="shared" si="3"/>
        <v>97.000371340135203</v>
      </c>
      <c r="J13" s="11">
        <v>35729.199999999997</v>
      </c>
      <c r="K13" s="14">
        <f t="shared" si="4"/>
        <v>105.94867853270988</v>
      </c>
      <c r="L13" s="11">
        <v>36269.4</v>
      </c>
      <c r="M13" s="11">
        <f t="shared" si="5"/>
        <v>101.51192861860888</v>
      </c>
      <c r="N13" s="11">
        <v>48741.1</v>
      </c>
      <c r="O13" s="11">
        <f t="shared" si="6"/>
        <v>134.38628706292354</v>
      </c>
      <c r="P13" s="11">
        <v>48756.800000000003</v>
      </c>
      <c r="Q13" s="11">
        <f t="shared" si="7"/>
        <v>100.03221100877904</v>
      </c>
      <c r="R13" s="11">
        <f t="shared" si="8"/>
        <v>241.74727917296775</v>
      </c>
      <c r="S13" s="11">
        <v>11248.7</v>
      </c>
      <c r="T13" s="11">
        <v>19089.8</v>
      </c>
      <c r="U13" s="14">
        <f t="shared" si="9"/>
        <v>169.70672166561468</v>
      </c>
      <c r="V13" s="11">
        <v>18147.759999999998</v>
      </c>
      <c r="W13" s="14">
        <f t="shared" si="10"/>
        <v>95.065218074573849</v>
      </c>
      <c r="X13" s="11">
        <v>18929.13</v>
      </c>
      <c r="Y13" s="14">
        <f t="shared" si="11"/>
        <v>104.30560025038903</v>
      </c>
      <c r="Z13" s="11">
        <v>19099.8</v>
      </c>
      <c r="AA13" s="14">
        <f t="shared" si="12"/>
        <v>100.90162622370917</v>
      </c>
      <c r="AB13" s="11">
        <v>19135.099999999999</v>
      </c>
      <c r="AC13" s="14">
        <f t="shared" si="13"/>
        <v>100.18481868920092</v>
      </c>
      <c r="AD13" s="11">
        <v>24416.400000000001</v>
      </c>
      <c r="AE13" s="14">
        <f t="shared" si="14"/>
        <v>127.60006480237888</v>
      </c>
      <c r="AF13" s="11">
        <v>24627.8</v>
      </c>
      <c r="AG13" s="14">
        <f t="shared" si="15"/>
        <v>100.86581150374339</v>
      </c>
      <c r="AH13" s="14">
        <f t="shared" si="16"/>
        <v>122.11022138483278</v>
      </c>
      <c r="AI13" s="11">
        <v>9263.5</v>
      </c>
      <c r="AJ13" s="11">
        <v>12699.2</v>
      </c>
      <c r="AK13" s="14">
        <f t="shared" si="17"/>
        <v>137.08857343336754</v>
      </c>
      <c r="AL13" s="11">
        <v>10563.33</v>
      </c>
      <c r="AM13" s="14">
        <f t="shared" si="18"/>
        <v>83.181066523875515</v>
      </c>
      <c r="AN13" s="11">
        <v>12117.74</v>
      </c>
      <c r="AO13" s="14">
        <f t="shared" si="19"/>
        <v>114.71515137745389</v>
      </c>
      <c r="AP13" s="11">
        <v>11661.6</v>
      </c>
      <c r="AQ13" s="14">
        <f t="shared" si="20"/>
        <v>96.235766735381361</v>
      </c>
      <c r="AR13" s="11">
        <v>13474</v>
      </c>
      <c r="AS13" s="14">
        <f t="shared" si="21"/>
        <v>115.5416066405982</v>
      </c>
      <c r="AT13" s="11">
        <v>24429.7</v>
      </c>
      <c r="AU13" s="14">
        <f t="shared" si="22"/>
        <v>181.3099302360101</v>
      </c>
      <c r="AV13" s="11">
        <v>25725</v>
      </c>
      <c r="AW13" s="14">
        <f t="shared" si="23"/>
        <v>105.30215270756497</v>
      </c>
      <c r="AX13" s="14">
        <f t="shared" si="24"/>
        <v>277.7028121120527</v>
      </c>
      <c r="AY13" s="11">
        <v>12618.8</v>
      </c>
      <c r="AZ13" s="11">
        <v>18680.7</v>
      </c>
      <c r="BA13" s="14">
        <f t="shared" si="25"/>
        <v>148.03864075823375</v>
      </c>
      <c r="BB13" s="11">
        <v>16165.8</v>
      </c>
      <c r="BC13" s="14">
        <f t="shared" si="26"/>
        <v>86.537442387062583</v>
      </c>
      <c r="BD13" s="11">
        <v>17551.68</v>
      </c>
      <c r="BE13" s="14">
        <f t="shared" si="27"/>
        <v>108.57291318709869</v>
      </c>
      <c r="BF13" s="11">
        <v>17915.7</v>
      </c>
      <c r="BG13" s="14">
        <f t="shared" si="28"/>
        <v>102.07398949844118</v>
      </c>
      <c r="BH13" s="11">
        <v>15766.6</v>
      </c>
      <c r="BI13" s="14">
        <f t="shared" si="29"/>
        <v>88.004376050056649</v>
      </c>
      <c r="BJ13" s="11">
        <f>3984.1/19.3/12*1000</f>
        <v>17202.504317789291</v>
      </c>
      <c r="BK13" s="14">
        <f t="shared" si="30"/>
        <v>109.10725405470609</v>
      </c>
      <c r="BL13" s="11">
        <f>1348.7/28.9/3*1000</f>
        <v>15555.940023068051</v>
      </c>
      <c r="BM13" s="14">
        <f t="shared" si="31"/>
        <v>90.428345406555081</v>
      </c>
      <c r="BN13" s="14">
        <f t="shared" si="32"/>
        <v>123.27590597416594</v>
      </c>
      <c r="BO13" s="11">
        <v>13951.85</v>
      </c>
      <c r="BP13" s="11">
        <v>19412.5</v>
      </c>
      <c r="BQ13" s="14">
        <f t="shared" si="33"/>
        <v>139.13925393406609</v>
      </c>
      <c r="BR13" s="11">
        <v>21076.52</v>
      </c>
      <c r="BS13" s="14">
        <f t="shared" si="34"/>
        <v>108.5718995492595</v>
      </c>
      <c r="BT13" s="11">
        <v>21427.78</v>
      </c>
      <c r="BU13" s="14">
        <f t="shared" si="35"/>
        <v>101.66659391588364</v>
      </c>
      <c r="BV13" s="11">
        <v>22799.24</v>
      </c>
      <c r="BW13" s="14">
        <f t="shared" si="36"/>
        <v>106.40038305414747</v>
      </c>
      <c r="BX13" s="11">
        <v>18350.759999999998</v>
      </c>
      <c r="BY13" s="14">
        <f t="shared" si="37"/>
        <v>80.488472422764957</v>
      </c>
      <c r="BZ13" s="11">
        <v>19288.64</v>
      </c>
      <c r="CA13" s="14">
        <f t="shared" si="38"/>
        <v>105.11085099472719</v>
      </c>
      <c r="CB13" s="11">
        <v>19939.39</v>
      </c>
      <c r="CC13" s="14">
        <f t="shared" si="39"/>
        <v>103.37374744927584</v>
      </c>
      <c r="CD13" s="20">
        <f t="shared" si="1"/>
        <v>142.91574235674838</v>
      </c>
    </row>
    <row r="14" spans="1:82" ht="38.25">
      <c r="A14" s="35">
        <f t="shared" si="40"/>
        <v>10</v>
      </c>
      <c r="B14" s="7" t="s">
        <v>17</v>
      </c>
      <c r="C14" s="11">
        <v>19400.8</v>
      </c>
      <c r="D14" s="11">
        <v>29856.5</v>
      </c>
      <c r="E14" s="14">
        <f t="shared" si="2"/>
        <v>153.89313842728137</v>
      </c>
      <c r="F14" s="11">
        <v>33179.760000000002</v>
      </c>
      <c r="G14" s="18">
        <f t="shared" si="0"/>
        <v>111.1307755430141</v>
      </c>
      <c r="H14" s="11">
        <v>33028.81</v>
      </c>
      <c r="I14" s="14">
        <f t="shared" si="3"/>
        <v>99.545053972662828</v>
      </c>
      <c r="J14" s="11">
        <v>29307.599999999999</v>
      </c>
      <c r="K14" s="14">
        <f t="shared" si="4"/>
        <v>88.733442107057442</v>
      </c>
      <c r="L14" s="11">
        <v>31403.1</v>
      </c>
      <c r="M14" s="11">
        <f t="shared" si="5"/>
        <v>107.15002251975596</v>
      </c>
      <c r="N14" s="11">
        <v>48738.9</v>
      </c>
      <c r="O14" s="11">
        <f t="shared" si="6"/>
        <v>155.20410405342147</v>
      </c>
      <c r="P14" s="11">
        <v>48755</v>
      </c>
      <c r="Q14" s="11">
        <f t="shared" si="7"/>
        <v>100.03303316242263</v>
      </c>
      <c r="R14" s="11">
        <f t="shared" si="8"/>
        <v>251.3040699352604</v>
      </c>
      <c r="S14" s="11">
        <v>14737.9</v>
      </c>
      <c r="T14" s="11">
        <v>18847.7</v>
      </c>
      <c r="U14" s="14">
        <f t="shared" si="9"/>
        <v>127.88592676025759</v>
      </c>
      <c r="V14" s="11">
        <v>19323.150000000001</v>
      </c>
      <c r="W14" s="14">
        <f t="shared" si="10"/>
        <v>102.52258896310956</v>
      </c>
      <c r="X14" s="11">
        <v>19712.3</v>
      </c>
      <c r="Y14" s="14">
        <f t="shared" si="11"/>
        <v>102.01390560027737</v>
      </c>
      <c r="Z14" s="11">
        <v>19037.5</v>
      </c>
      <c r="AA14" s="14">
        <f t="shared" si="12"/>
        <v>96.576756644328682</v>
      </c>
      <c r="AB14" s="11">
        <v>20129.599999999999</v>
      </c>
      <c r="AC14" s="14">
        <f t="shared" si="13"/>
        <v>105.7365725541694</v>
      </c>
      <c r="AD14" s="11">
        <v>24370</v>
      </c>
      <c r="AE14" s="14">
        <f t="shared" si="14"/>
        <v>121.06549558858597</v>
      </c>
      <c r="AF14" s="11">
        <v>24552.7</v>
      </c>
      <c r="AG14" s="14">
        <f t="shared" si="15"/>
        <v>100.74969224456298</v>
      </c>
      <c r="AH14" s="14">
        <f t="shared" si="16"/>
        <v>126.55509051173148</v>
      </c>
      <c r="AI14" s="11">
        <v>7887.5</v>
      </c>
      <c r="AJ14" s="11">
        <v>9654.2000000000007</v>
      </c>
      <c r="AK14" s="14">
        <f t="shared" si="17"/>
        <v>122.39873217115691</v>
      </c>
      <c r="AL14" s="11">
        <v>9604.17</v>
      </c>
      <c r="AM14" s="14">
        <f t="shared" si="18"/>
        <v>99.481779950695028</v>
      </c>
      <c r="AN14" s="11">
        <v>9621.2099999999991</v>
      </c>
      <c r="AO14" s="14">
        <f t="shared" si="19"/>
        <v>100.17742293191394</v>
      </c>
      <c r="AP14" s="11">
        <v>9779.2000000000007</v>
      </c>
      <c r="AQ14" s="14">
        <f t="shared" si="20"/>
        <v>101.64210114943964</v>
      </c>
      <c r="AR14" s="11">
        <v>10041.700000000001</v>
      </c>
      <c r="AS14" s="14">
        <f t="shared" si="21"/>
        <v>102.68426865183247</v>
      </c>
      <c r="AT14" s="11">
        <v>0</v>
      </c>
      <c r="AU14" s="14">
        <f t="shared" si="22"/>
        <v>0</v>
      </c>
      <c r="AV14" s="11">
        <v>0</v>
      </c>
      <c r="AW14" s="14" t="e">
        <f t="shared" si="23"/>
        <v>#DIV/0!</v>
      </c>
      <c r="AX14" s="14">
        <f t="shared" si="24"/>
        <v>0</v>
      </c>
      <c r="AY14" s="11">
        <v>13239.6</v>
      </c>
      <c r="AZ14" s="11">
        <v>16800</v>
      </c>
      <c r="BA14" s="14">
        <f t="shared" si="25"/>
        <v>126.89205111936917</v>
      </c>
      <c r="BB14" s="11">
        <v>14033.33</v>
      </c>
      <c r="BC14" s="14">
        <f t="shared" si="26"/>
        <v>83.531726190476192</v>
      </c>
      <c r="BD14" s="11">
        <v>15011.76</v>
      </c>
      <c r="BE14" s="14">
        <f t="shared" si="27"/>
        <v>106.97218692926056</v>
      </c>
      <c r="BF14" s="11">
        <v>14217.6</v>
      </c>
      <c r="BG14" s="14">
        <f t="shared" si="28"/>
        <v>94.709747557914596</v>
      </c>
      <c r="BH14" s="11">
        <v>15597</v>
      </c>
      <c r="BI14" s="14">
        <f t="shared" si="29"/>
        <v>109.70205941931128</v>
      </c>
      <c r="BJ14" s="11">
        <f>2514.5/11.6/12*1000</f>
        <v>18063.936781609198</v>
      </c>
      <c r="BK14" s="14">
        <f t="shared" si="30"/>
        <v>115.81673899858433</v>
      </c>
      <c r="BL14" s="11">
        <f>619/12.1/3*1000</f>
        <v>17052.341597796145</v>
      </c>
      <c r="BM14" s="14">
        <f t="shared" si="31"/>
        <v>94.399918489291039</v>
      </c>
      <c r="BN14" s="14">
        <f t="shared" si="32"/>
        <v>128.79801200788651</v>
      </c>
      <c r="BO14" s="11">
        <v>16000</v>
      </c>
      <c r="BP14" s="11">
        <v>17196.669999999998</v>
      </c>
      <c r="BQ14" s="14">
        <f t="shared" si="33"/>
        <v>107.47918749999998</v>
      </c>
      <c r="BR14" s="11">
        <v>19316.650000000001</v>
      </c>
      <c r="BS14" s="14">
        <f t="shared" si="34"/>
        <v>112.32785184573527</v>
      </c>
      <c r="BT14" s="11">
        <v>22993.43</v>
      </c>
      <c r="BU14" s="14">
        <f t="shared" si="35"/>
        <v>119.03425283369529</v>
      </c>
      <c r="BV14" s="11">
        <v>21024.41</v>
      </c>
      <c r="BW14" s="14">
        <f t="shared" si="36"/>
        <v>91.43659732367027</v>
      </c>
      <c r="BX14" s="11">
        <v>21263.26</v>
      </c>
      <c r="BY14" s="14">
        <f t="shared" si="37"/>
        <v>101.13606041739102</v>
      </c>
      <c r="BZ14" s="11">
        <v>21831.25</v>
      </c>
      <c r="CA14" s="14">
        <f t="shared" si="38"/>
        <v>102.67122727182945</v>
      </c>
      <c r="CB14" s="11">
        <v>20779.259999999998</v>
      </c>
      <c r="CC14" s="14">
        <f t="shared" si="39"/>
        <v>95.181265387918685</v>
      </c>
      <c r="CD14" s="20">
        <f t="shared" si="1"/>
        <v>129.870375</v>
      </c>
    </row>
    <row r="15" spans="1:82" ht="38.25">
      <c r="A15" s="35">
        <f t="shared" si="40"/>
        <v>11</v>
      </c>
      <c r="B15" s="7" t="s">
        <v>18</v>
      </c>
      <c r="C15" s="11">
        <v>28599.9</v>
      </c>
      <c r="D15" s="11">
        <v>33807</v>
      </c>
      <c r="E15" s="14">
        <f t="shared" si="2"/>
        <v>118.2067070164581</v>
      </c>
      <c r="F15" s="11">
        <v>32716.84</v>
      </c>
      <c r="G15" s="18">
        <f t="shared" si="0"/>
        <v>96.775342384713227</v>
      </c>
      <c r="H15" s="11">
        <v>31142.19</v>
      </c>
      <c r="I15" s="14">
        <f t="shared" si="3"/>
        <v>95.187035178214032</v>
      </c>
      <c r="J15" s="11">
        <v>33990.6</v>
      </c>
      <c r="K15" s="14">
        <f t="shared" si="4"/>
        <v>109.14646657797668</v>
      </c>
      <c r="L15" s="11">
        <v>31721.5</v>
      </c>
      <c r="M15" s="11">
        <f t="shared" si="5"/>
        <v>93.324330844409928</v>
      </c>
      <c r="N15" s="11">
        <v>48920.3</v>
      </c>
      <c r="O15" s="11">
        <f t="shared" si="6"/>
        <v>154.21811704995037</v>
      </c>
      <c r="P15" s="11">
        <v>49996.4</v>
      </c>
      <c r="Q15" s="11">
        <f t="shared" si="7"/>
        <v>102.19970032890231</v>
      </c>
      <c r="R15" s="11">
        <f t="shared" si="8"/>
        <v>174.81319864754772</v>
      </c>
      <c r="S15" s="11">
        <v>13221.5</v>
      </c>
      <c r="T15" s="11">
        <v>16742.7</v>
      </c>
      <c r="U15" s="14">
        <f t="shared" si="9"/>
        <v>126.63237907952956</v>
      </c>
      <c r="V15" s="11">
        <v>16973.32</v>
      </c>
      <c r="W15" s="14">
        <f t="shared" si="10"/>
        <v>101.37743613634598</v>
      </c>
      <c r="X15" s="11">
        <v>17430.29</v>
      </c>
      <c r="Y15" s="14">
        <f t="shared" si="11"/>
        <v>102.69228412591056</v>
      </c>
      <c r="Z15" s="11">
        <v>17994.900000000001</v>
      </c>
      <c r="AA15" s="14">
        <f t="shared" si="12"/>
        <v>103.2392461628579</v>
      </c>
      <c r="AB15" s="11">
        <v>19027.599999999999</v>
      </c>
      <c r="AC15" s="14">
        <f t="shared" si="13"/>
        <v>105.73884822922048</v>
      </c>
      <c r="AD15" s="11">
        <v>24424.3</v>
      </c>
      <c r="AE15" s="14">
        <f t="shared" si="14"/>
        <v>128.36248397065316</v>
      </c>
      <c r="AF15" s="11">
        <v>25132.6</v>
      </c>
      <c r="AG15" s="14">
        <f t="shared" si="15"/>
        <v>102.8999807568692</v>
      </c>
      <c r="AH15" s="14">
        <f t="shared" si="16"/>
        <v>87.876531036821788</v>
      </c>
      <c r="AI15" s="11">
        <v>10004</v>
      </c>
      <c r="AJ15" s="11">
        <v>10232.700000000001</v>
      </c>
      <c r="AK15" s="14">
        <f t="shared" si="17"/>
        <v>102.2860855657737</v>
      </c>
      <c r="AL15" s="11">
        <v>10619.96</v>
      </c>
      <c r="AM15" s="14">
        <f t="shared" si="18"/>
        <v>103.78453389623461</v>
      </c>
      <c r="AN15" s="11">
        <v>11803.94</v>
      </c>
      <c r="AO15" s="14">
        <f t="shared" si="19"/>
        <v>111.14862956169327</v>
      </c>
      <c r="AP15" s="11">
        <v>12570.6</v>
      </c>
      <c r="AQ15" s="14">
        <f t="shared" si="20"/>
        <v>106.4949499912741</v>
      </c>
      <c r="AR15" s="11">
        <v>14036.2</v>
      </c>
      <c r="AS15" s="14">
        <f t="shared" si="21"/>
        <v>111.65895024899368</v>
      </c>
      <c r="AT15" s="11">
        <v>24372.2</v>
      </c>
      <c r="AU15" s="14">
        <f t="shared" si="22"/>
        <v>173.63816417548909</v>
      </c>
      <c r="AV15" s="11">
        <v>24451.7</v>
      </c>
      <c r="AW15" s="14">
        <f t="shared" si="23"/>
        <v>100.32619131633582</v>
      </c>
      <c r="AX15" s="14">
        <f t="shared" si="24"/>
        <v>244.41923230707715</v>
      </c>
      <c r="AY15" s="11">
        <v>15182.1</v>
      </c>
      <c r="AZ15" s="11">
        <v>18848.400000000001</v>
      </c>
      <c r="BA15" s="14">
        <f t="shared" si="25"/>
        <v>124.14883316537239</v>
      </c>
      <c r="BB15" s="11">
        <v>15036.36</v>
      </c>
      <c r="BC15" s="14">
        <f t="shared" si="26"/>
        <v>79.775259438466932</v>
      </c>
      <c r="BD15" s="11">
        <v>13826.46</v>
      </c>
      <c r="BE15" s="14">
        <f t="shared" si="27"/>
        <v>91.953504704596043</v>
      </c>
      <c r="BF15" s="11">
        <v>14525.1</v>
      </c>
      <c r="BG15" s="14">
        <f t="shared" si="28"/>
        <v>105.05292027026441</v>
      </c>
      <c r="BH15" s="11">
        <v>13751.6</v>
      </c>
      <c r="BI15" s="14">
        <f t="shared" si="29"/>
        <v>94.674735457931448</v>
      </c>
      <c r="BJ15" s="11">
        <f>9205.7/50.2/12*1000</f>
        <v>15281.706507304118</v>
      </c>
      <c r="BK15" s="14">
        <f t="shared" si="30"/>
        <v>111.12675257645741</v>
      </c>
      <c r="BL15" s="11">
        <f>2746.5/54.4/3*1000</f>
        <v>16829.044117647063</v>
      </c>
      <c r="BM15" s="14">
        <f t="shared" si="31"/>
        <v>110.12542420968086</v>
      </c>
      <c r="BN15" s="14">
        <f t="shared" si="32"/>
        <v>110.84793353783115</v>
      </c>
      <c r="BO15" s="11">
        <v>16298.47</v>
      </c>
      <c r="BP15" s="11">
        <v>19841.36</v>
      </c>
      <c r="BQ15" s="14">
        <f t="shared" si="33"/>
        <v>121.73756186930432</v>
      </c>
      <c r="BR15" s="11">
        <v>22003.93</v>
      </c>
      <c r="BS15" s="14">
        <f t="shared" si="34"/>
        <v>110.89930327356592</v>
      </c>
      <c r="BT15" s="11">
        <v>22544.959999999999</v>
      </c>
      <c r="BU15" s="14">
        <f t="shared" si="35"/>
        <v>102.45878804377217</v>
      </c>
      <c r="BV15" s="11">
        <v>21391.9</v>
      </c>
      <c r="BW15" s="14">
        <f t="shared" si="36"/>
        <v>94.885508778902263</v>
      </c>
      <c r="BX15" s="11">
        <v>22753.8</v>
      </c>
      <c r="BY15" s="14">
        <f t="shared" si="37"/>
        <v>106.36642841449333</v>
      </c>
      <c r="BZ15" s="11">
        <v>24390.560000000001</v>
      </c>
      <c r="CA15" s="14">
        <f t="shared" si="38"/>
        <v>107.19334792430277</v>
      </c>
      <c r="CB15" s="11">
        <v>23231.97</v>
      </c>
      <c r="CC15" s="14">
        <f t="shared" si="39"/>
        <v>95.249842562040399</v>
      </c>
      <c r="CD15" s="20">
        <f t="shared" si="1"/>
        <v>142.54080290972098</v>
      </c>
    </row>
    <row r="16" spans="1:82" ht="63.75">
      <c r="A16" s="35">
        <f t="shared" si="40"/>
        <v>12</v>
      </c>
      <c r="B16" s="7" t="s">
        <v>19</v>
      </c>
      <c r="C16" s="11">
        <v>45932.6</v>
      </c>
      <c r="D16" s="11">
        <v>46784.7</v>
      </c>
      <c r="E16" s="14">
        <f t="shared" si="2"/>
        <v>101.85510944296642</v>
      </c>
      <c r="F16" s="11">
        <v>42616.67</v>
      </c>
      <c r="G16" s="18">
        <f t="shared" si="0"/>
        <v>91.09104044698374</v>
      </c>
      <c r="H16" s="11">
        <v>41675.64</v>
      </c>
      <c r="I16" s="14">
        <f t="shared" si="3"/>
        <v>97.791873461722844</v>
      </c>
      <c r="J16" s="11">
        <v>42550.6</v>
      </c>
      <c r="K16" s="14">
        <f t="shared" si="4"/>
        <v>102.09945186204699</v>
      </c>
      <c r="L16" s="11">
        <v>40908.5</v>
      </c>
      <c r="M16" s="11">
        <f t="shared" si="5"/>
        <v>96.140829976545575</v>
      </c>
      <c r="N16" s="11">
        <v>48836.1</v>
      </c>
      <c r="O16" s="11">
        <f t="shared" si="6"/>
        <v>119.37885769461114</v>
      </c>
      <c r="P16" s="11">
        <v>46634.1</v>
      </c>
      <c r="Q16" s="11">
        <f t="shared" si="7"/>
        <v>95.491040439347117</v>
      </c>
      <c r="R16" s="11">
        <f t="shared" si="8"/>
        <v>101.5272377352904</v>
      </c>
      <c r="S16" s="11">
        <v>18732.5</v>
      </c>
      <c r="T16" s="11">
        <v>19250</v>
      </c>
      <c r="U16" s="14">
        <f t="shared" si="9"/>
        <v>102.76257840651274</v>
      </c>
      <c r="V16" s="11">
        <v>18883.93</v>
      </c>
      <c r="W16" s="14">
        <f t="shared" si="10"/>
        <v>98.09833766233767</v>
      </c>
      <c r="X16" s="11">
        <v>24700</v>
      </c>
      <c r="Y16" s="14">
        <f t="shared" si="11"/>
        <v>130.79904447855927</v>
      </c>
      <c r="Z16" s="11">
        <v>22187.7</v>
      </c>
      <c r="AA16" s="14">
        <f t="shared" si="12"/>
        <v>89.82874493927126</v>
      </c>
      <c r="AB16" s="11">
        <v>24723.4</v>
      </c>
      <c r="AC16" s="14">
        <f t="shared" si="13"/>
        <v>111.42840402565386</v>
      </c>
      <c r="AD16" s="11">
        <v>24940.799999999999</v>
      </c>
      <c r="AE16" s="14">
        <f t="shared" si="14"/>
        <v>100.87932889489308</v>
      </c>
      <c r="AF16" s="11">
        <v>25333.3</v>
      </c>
      <c r="AG16" s="14">
        <f t="shared" si="15"/>
        <v>101.57372658455222</v>
      </c>
      <c r="AH16" s="14">
        <f t="shared" si="16"/>
        <v>55.153202736183019</v>
      </c>
      <c r="AI16" s="11">
        <v>8826.4</v>
      </c>
      <c r="AJ16" s="11">
        <v>9419.4</v>
      </c>
      <c r="AK16" s="14">
        <f t="shared" si="17"/>
        <v>106.71848092087374</v>
      </c>
      <c r="AL16" s="11">
        <v>9377.7800000000007</v>
      </c>
      <c r="AM16" s="14">
        <f t="shared" si="18"/>
        <v>99.558145954094755</v>
      </c>
      <c r="AN16" s="11">
        <v>9941.67</v>
      </c>
      <c r="AO16" s="14">
        <f t="shared" si="19"/>
        <v>106.01304359880484</v>
      </c>
      <c r="AP16" s="11">
        <v>10776.7</v>
      </c>
      <c r="AQ16" s="14">
        <f t="shared" si="20"/>
        <v>108.39929307651532</v>
      </c>
      <c r="AR16" s="11">
        <v>13573.3</v>
      </c>
      <c r="AS16" s="14">
        <f t="shared" si="21"/>
        <v>125.95043009455584</v>
      </c>
      <c r="AT16" s="11">
        <v>24351.7</v>
      </c>
      <c r="AU16" s="14">
        <f t="shared" si="22"/>
        <v>179.40883941267046</v>
      </c>
      <c r="AV16" s="11">
        <v>24013.3</v>
      </c>
      <c r="AW16" s="14">
        <f t="shared" si="23"/>
        <v>98.610363958163077</v>
      </c>
      <c r="AX16" s="14">
        <f t="shared" si="24"/>
        <v>272.06222242363822</v>
      </c>
      <c r="AY16" s="11">
        <v>16325.4</v>
      </c>
      <c r="AZ16" s="11">
        <v>17817.2</v>
      </c>
      <c r="BA16" s="14">
        <f t="shared" si="25"/>
        <v>109.13790780011516</v>
      </c>
      <c r="BB16" s="11">
        <v>25908.3</v>
      </c>
      <c r="BC16" s="14">
        <f t="shared" si="26"/>
        <v>145.41173697326178</v>
      </c>
      <c r="BD16" s="11">
        <v>32001.52</v>
      </c>
      <c r="BE16" s="14">
        <f t="shared" si="27"/>
        <v>123.51840915845503</v>
      </c>
      <c r="BF16" s="11">
        <v>33225</v>
      </c>
      <c r="BG16" s="14">
        <f t="shared" si="28"/>
        <v>103.82319339831358</v>
      </c>
      <c r="BH16" s="11">
        <v>26078.2</v>
      </c>
      <c r="BI16" s="14">
        <f t="shared" si="29"/>
        <v>78.489691497366437</v>
      </c>
      <c r="BJ16" s="11">
        <f>4831.1/14.6/12*1000</f>
        <v>27574.77168949772</v>
      </c>
      <c r="BK16" s="14">
        <f t="shared" si="30"/>
        <v>105.73878446172557</v>
      </c>
      <c r="BL16" s="11">
        <f>1086.9/14/3*1000</f>
        <v>25878.571428571431</v>
      </c>
      <c r="BM16" s="14">
        <f t="shared" si="31"/>
        <v>93.848724188812355</v>
      </c>
      <c r="BN16" s="14">
        <f t="shared" si="32"/>
        <v>158.5172273179918</v>
      </c>
      <c r="BO16" s="11">
        <v>23140</v>
      </c>
      <c r="BP16" s="11">
        <v>23603.4</v>
      </c>
      <c r="BQ16" s="14">
        <f t="shared" si="33"/>
        <v>102.00259291270528</v>
      </c>
      <c r="BR16" s="11">
        <v>23034.23</v>
      </c>
      <c r="BS16" s="14">
        <f t="shared" si="34"/>
        <v>97.588610115491832</v>
      </c>
      <c r="BT16" s="11">
        <v>30983.11</v>
      </c>
      <c r="BU16" s="14">
        <f t="shared" si="35"/>
        <v>134.50898944744409</v>
      </c>
      <c r="BV16" s="11">
        <v>33188.54</v>
      </c>
      <c r="BW16" s="14">
        <f t="shared" si="36"/>
        <v>107.11816857636305</v>
      </c>
      <c r="BX16" s="11">
        <v>32815.54</v>
      </c>
      <c r="BY16" s="14">
        <f t="shared" si="37"/>
        <v>98.876118081723391</v>
      </c>
      <c r="BZ16" s="11">
        <v>33812.269999999997</v>
      </c>
      <c r="CA16" s="14">
        <f t="shared" si="38"/>
        <v>103.03737192805602</v>
      </c>
      <c r="CB16" s="11">
        <v>31896.3</v>
      </c>
      <c r="CC16" s="14">
        <f t="shared" si="39"/>
        <v>94.333506741783395</v>
      </c>
      <c r="CD16" s="20">
        <f t="shared" si="1"/>
        <v>137.84053586862575</v>
      </c>
    </row>
    <row r="17" spans="1:82" ht="76.5">
      <c r="A17" s="35">
        <f t="shared" si="40"/>
        <v>13</v>
      </c>
      <c r="B17" s="7" t="s">
        <v>20</v>
      </c>
      <c r="C17" s="11">
        <v>33211.800000000003</v>
      </c>
      <c r="D17" s="11">
        <v>34212.5</v>
      </c>
      <c r="E17" s="14">
        <f t="shared" si="2"/>
        <v>103.01308571050048</v>
      </c>
      <c r="F17" s="11">
        <v>28179.17</v>
      </c>
      <c r="G17" s="18">
        <f t="shared" si="0"/>
        <v>82.365129704055533</v>
      </c>
      <c r="H17" s="11">
        <v>28264.58</v>
      </c>
      <c r="I17" s="14">
        <f t="shared" si="3"/>
        <v>100.30309622320317</v>
      </c>
      <c r="J17" s="11">
        <v>33208.300000000003</v>
      </c>
      <c r="K17" s="14">
        <f t="shared" si="4"/>
        <v>117.49086666067565</v>
      </c>
      <c r="L17" s="11">
        <v>34752.1</v>
      </c>
      <c r="M17" s="11">
        <f t="shared" si="5"/>
        <v>104.64883779055234</v>
      </c>
      <c r="N17" s="11">
        <v>48866.7</v>
      </c>
      <c r="O17" s="11">
        <f t="shared" si="6"/>
        <v>140.61509951916577</v>
      </c>
      <c r="P17" s="11">
        <v>49811.5</v>
      </c>
      <c r="Q17" s="11">
        <f t="shared" si="7"/>
        <v>101.93342296492295</v>
      </c>
      <c r="R17" s="11">
        <f t="shared" si="8"/>
        <v>149.98133193623951</v>
      </c>
      <c r="S17" s="11">
        <v>18108.3</v>
      </c>
      <c r="T17" s="11">
        <v>18202.900000000001</v>
      </c>
      <c r="U17" s="14">
        <f t="shared" si="9"/>
        <v>100.52241237443604</v>
      </c>
      <c r="V17" s="11">
        <v>19401.91</v>
      </c>
      <c r="W17" s="14">
        <f t="shared" si="10"/>
        <v>106.58691746919446</v>
      </c>
      <c r="X17" s="11">
        <v>19425.89</v>
      </c>
      <c r="Y17" s="14">
        <f t="shared" si="11"/>
        <v>100.12359607894274</v>
      </c>
      <c r="Z17" s="11">
        <v>18678.599999999999</v>
      </c>
      <c r="AA17" s="14">
        <f t="shared" si="12"/>
        <v>96.153123486234094</v>
      </c>
      <c r="AB17" s="11">
        <v>18407.900000000001</v>
      </c>
      <c r="AC17" s="14">
        <f t="shared" si="13"/>
        <v>98.55074791472596</v>
      </c>
      <c r="AD17" s="11">
        <v>24564.400000000001</v>
      </c>
      <c r="AE17" s="14">
        <f t="shared" si="14"/>
        <v>133.44487964406585</v>
      </c>
      <c r="AF17" s="11">
        <v>25642.2</v>
      </c>
      <c r="AG17" s="14">
        <f t="shared" si="15"/>
        <v>104.38765042093436</v>
      </c>
      <c r="AH17" s="14">
        <f t="shared" si="16"/>
        <v>77.208100735280823</v>
      </c>
      <c r="AI17" s="11">
        <v>12543.7</v>
      </c>
      <c r="AJ17" s="11">
        <v>13656.3</v>
      </c>
      <c r="AK17" s="14">
        <f t="shared" si="17"/>
        <v>108.86979120993007</v>
      </c>
      <c r="AL17" s="11">
        <v>12555.56</v>
      </c>
      <c r="AM17" s="14">
        <f t="shared" si="18"/>
        <v>91.939690838660553</v>
      </c>
      <c r="AN17" s="11">
        <v>13448.66</v>
      </c>
      <c r="AO17" s="14">
        <f t="shared" si="19"/>
        <v>107.11318332276696</v>
      </c>
      <c r="AP17" s="11">
        <v>12261.4</v>
      </c>
      <c r="AQ17" s="14">
        <f t="shared" si="20"/>
        <v>91.171908576765276</v>
      </c>
      <c r="AR17" s="11">
        <v>13554.2</v>
      </c>
      <c r="AS17" s="14">
        <f t="shared" si="21"/>
        <v>110.54365733113676</v>
      </c>
      <c r="AT17" s="11">
        <v>24424.5</v>
      </c>
      <c r="AU17" s="14">
        <f t="shared" si="22"/>
        <v>180.1987575806761</v>
      </c>
      <c r="AV17" s="11">
        <v>24811.3</v>
      </c>
      <c r="AW17" s="14">
        <f t="shared" si="23"/>
        <v>101.58365575549142</v>
      </c>
      <c r="AX17" s="14">
        <f t="shared" si="24"/>
        <v>197.79889506286023</v>
      </c>
      <c r="AY17" s="11">
        <v>17286.2</v>
      </c>
      <c r="AZ17" s="11">
        <v>18377.2</v>
      </c>
      <c r="BA17" s="14">
        <f t="shared" si="25"/>
        <v>106.31139290300933</v>
      </c>
      <c r="BB17" s="11">
        <v>16979.37</v>
      </c>
      <c r="BC17" s="14">
        <f t="shared" si="26"/>
        <v>92.39367259430162</v>
      </c>
      <c r="BD17" s="11">
        <v>16829.169999999998</v>
      </c>
      <c r="BE17" s="14">
        <f t="shared" si="27"/>
        <v>99.115397096594265</v>
      </c>
      <c r="BF17" s="11">
        <v>17875.400000000001</v>
      </c>
      <c r="BG17" s="14">
        <f t="shared" si="28"/>
        <v>106.21676529502051</v>
      </c>
      <c r="BH17" s="11">
        <v>18184.099999999999</v>
      </c>
      <c r="BI17" s="14">
        <f t="shared" si="29"/>
        <v>101.72695436186041</v>
      </c>
      <c r="BJ17" s="11">
        <f>8129.7/40.3/12*1000</f>
        <v>16810.794044665014</v>
      </c>
      <c r="BK17" s="14">
        <f t="shared" si="30"/>
        <v>92.447765051143662</v>
      </c>
      <c r="BL17" s="11">
        <f>2471/43.6/3*1000</f>
        <v>18891.437308868499</v>
      </c>
      <c r="BM17" s="14">
        <f t="shared" si="31"/>
        <v>112.37682918888527</v>
      </c>
      <c r="BN17" s="14">
        <f t="shared" si="32"/>
        <v>109.28623589261086</v>
      </c>
      <c r="BO17" s="11">
        <v>21953.03</v>
      </c>
      <c r="BP17" s="11">
        <v>24488.3</v>
      </c>
      <c r="BQ17" s="14">
        <f t="shared" si="33"/>
        <v>111.54861082957569</v>
      </c>
      <c r="BR17" s="11">
        <v>24901.96</v>
      </c>
      <c r="BS17" s="14">
        <f t="shared" si="34"/>
        <v>101.68921484954039</v>
      </c>
      <c r="BT17" s="11">
        <v>27196.15</v>
      </c>
      <c r="BU17" s="14">
        <f t="shared" si="35"/>
        <v>109.21288926654771</v>
      </c>
      <c r="BV17" s="11">
        <v>27534.52</v>
      </c>
      <c r="BW17" s="14">
        <f t="shared" si="36"/>
        <v>101.24418345979119</v>
      </c>
      <c r="BX17" s="11">
        <v>27431.59</v>
      </c>
      <c r="BY17" s="14">
        <f t="shared" si="37"/>
        <v>99.626178339044941</v>
      </c>
      <c r="BZ17" s="11">
        <v>28476.39</v>
      </c>
      <c r="CA17" s="14">
        <f t="shared" si="38"/>
        <v>103.80874750606873</v>
      </c>
      <c r="CB17" s="11">
        <v>29388.89</v>
      </c>
      <c r="CC17" s="14">
        <f t="shared" si="39"/>
        <v>103.20440898583001</v>
      </c>
      <c r="CD17" s="20">
        <f t="shared" si="1"/>
        <v>133.87167967246435</v>
      </c>
    </row>
    <row r="18" spans="1:82" ht="63.75">
      <c r="A18" s="35">
        <f t="shared" si="40"/>
        <v>14</v>
      </c>
      <c r="B18" s="7" t="s">
        <v>21</v>
      </c>
      <c r="C18" s="11">
        <v>26291.200000000001</v>
      </c>
      <c r="D18" s="11">
        <v>29447.599999999999</v>
      </c>
      <c r="E18" s="14">
        <f t="shared" si="2"/>
        <v>112.00553797468353</v>
      </c>
      <c r="F18" s="11">
        <v>29918.75</v>
      </c>
      <c r="G18" s="18">
        <f t="shared" si="0"/>
        <v>101.59996060799523</v>
      </c>
      <c r="H18" s="11">
        <v>27585.26</v>
      </c>
      <c r="I18" s="14">
        <f t="shared" si="3"/>
        <v>92.200576561520776</v>
      </c>
      <c r="J18" s="11">
        <v>22028.3</v>
      </c>
      <c r="K18" s="14">
        <f t="shared" si="4"/>
        <v>79.855328534151937</v>
      </c>
      <c r="L18" s="11">
        <v>28251.9</v>
      </c>
      <c r="M18" s="11">
        <f t="shared" si="5"/>
        <v>128.25274760194841</v>
      </c>
      <c r="N18" s="11">
        <v>48731.7</v>
      </c>
      <c r="O18" s="11">
        <f t="shared" si="6"/>
        <v>172.48999182355874</v>
      </c>
      <c r="P18" s="11">
        <v>48777.8</v>
      </c>
      <c r="Q18" s="11">
        <f t="shared" si="7"/>
        <v>100.09459961380375</v>
      </c>
      <c r="R18" s="11">
        <f t="shared" si="8"/>
        <v>185.52899829600779</v>
      </c>
      <c r="S18" s="11">
        <v>17090.599999999999</v>
      </c>
      <c r="T18" s="11">
        <v>20179.5</v>
      </c>
      <c r="U18" s="14">
        <f t="shared" si="9"/>
        <v>118.07367792821786</v>
      </c>
      <c r="V18" s="11">
        <v>20911.11</v>
      </c>
      <c r="W18" s="14">
        <f t="shared" si="10"/>
        <v>103.62551103843009</v>
      </c>
      <c r="X18" s="11">
        <v>17247.330000000002</v>
      </c>
      <c r="Y18" s="14">
        <f t="shared" si="11"/>
        <v>82.479265806549733</v>
      </c>
      <c r="Z18" s="11">
        <v>16833.3</v>
      </c>
      <c r="AA18" s="14">
        <f t="shared" si="12"/>
        <v>97.599454524265482</v>
      </c>
      <c r="AB18" s="11">
        <v>18487.900000000001</v>
      </c>
      <c r="AC18" s="14">
        <f t="shared" si="13"/>
        <v>109.82932639470575</v>
      </c>
      <c r="AD18" s="11">
        <v>24359</v>
      </c>
      <c r="AE18" s="14">
        <f t="shared" si="14"/>
        <v>131.75644610799495</v>
      </c>
      <c r="AF18" s="11">
        <v>24367.599999999999</v>
      </c>
      <c r="AG18" s="14">
        <f t="shared" si="15"/>
        <v>100.03530522599449</v>
      </c>
      <c r="AH18" s="14">
        <f t="shared" si="16"/>
        <v>92.683483446932797</v>
      </c>
      <c r="AI18" s="11">
        <v>12608.3</v>
      </c>
      <c r="AJ18" s="11">
        <v>12926.7</v>
      </c>
      <c r="AK18" s="14">
        <f t="shared" si="17"/>
        <v>102.5253206221299</v>
      </c>
      <c r="AL18" s="11">
        <v>11675</v>
      </c>
      <c r="AM18" s="14">
        <f t="shared" si="18"/>
        <v>90.316940905258107</v>
      </c>
      <c r="AN18" s="11">
        <v>12762.5</v>
      </c>
      <c r="AO18" s="14">
        <f t="shared" si="19"/>
        <v>109.31477516059958</v>
      </c>
      <c r="AP18" s="11">
        <v>21995.8</v>
      </c>
      <c r="AQ18" s="14">
        <f t="shared" si="20"/>
        <v>172.34711067580804</v>
      </c>
      <c r="AR18" s="11">
        <v>17547.599999999999</v>
      </c>
      <c r="AS18" s="14">
        <f t="shared" si="21"/>
        <v>79.777048345593244</v>
      </c>
      <c r="AT18" s="11">
        <v>24200</v>
      </c>
      <c r="AU18" s="14">
        <f t="shared" si="22"/>
        <v>137.9105974606214</v>
      </c>
      <c r="AV18" s="11">
        <v>24366.7</v>
      </c>
      <c r="AW18" s="14">
        <f t="shared" si="23"/>
        <v>100.68884297520661</v>
      </c>
      <c r="AX18" s="14">
        <f t="shared" si="24"/>
        <v>193.25920227151957</v>
      </c>
      <c r="AY18" s="11">
        <v>23944.799999999999</v>
      </c>
      <c r="AZ18" s="11">
        <v>20939.400000000001</v>
      </c>
      <c r="BA18" s="14">
        <f t="shared" si="25"/>
        <v>87.448631853262512</v>
      </c>
      <c r="BB18" s="11">
        <v>19384.7</v>
      </c>
      <c r="BC18" s="14">
        <f t="shared" si="26"/>
        <v>92.575240933360064</v>
      </c>
      <c r="BD18" s="11">
        <v>13415.63</v>
      </c>
      <c r="BE18" s="14">
        <f t="shared" si="27"/>
        <v>69.207312983951255</v>
      </c>
      <c r="BF18" s="11">
        <v>14979.8</v>
      </c>
      <c r="BG18" s="14">
        <f t="shared" si="28"/>
        <v>111.65931081879867</v>
      </c>
      <c r="BH18" s="11">
        <v>12725</v>
      </c>
      <c r="BI18" s="14">
        <f t="shared" si="29"/>
        <v>84.947729609207073</v>
      </c>
      <c r="BJ18" s="11">
        <f>1579.7/8.6/12*1000</f>
        <v>15307.17054263566</v>
      </c>
      <c r="BK18" s="14">
        <f t="shared" si="30"/>
        <v>120.29210642542758</v>
      </c>
      <c r="BL18" s="11">
        <f>492.9/9.8/3*1000</f>
        <v>16765.306122448979</v>
      </c>
      <c r="BM18" s="14">
        <f t="shared" si="31"/>
        <v>109.52583350235707</v>
      </c>
      <c r="BN18" s="14">
        <f t="shared" si="32"/>
        <v>70.016480081057182</v>
      </c>
      <c r="BO18" s="11">
        <v>21346.67</v>
      </c>
      <c r="BP18" s="11">
        <v>29710</v>
      </c>
      <c r="BQ18" s="14">
        <f t="shared" si="33"/>
        <v>139.17861661795493</v>
      </c>
      <c r="BR18" s="11">
        <v>30566.67</v>
      </c>
      <c r="BS18" s="14">
        <f t="shared" si="34"/>
        <v>102.88343991921911</v>
      </c>
      <c r="BT18" s="11">
        <v>21040.48</v>
      </c>
      <c r="BU18" s="14">
        <f t="shared" si="35"/>
        <v>68.834714412790149</v>
      </c>
      <c r="BV18" s="11">
        <v>24612.82</v>
      </c>
      <c r="BW18" s="14">
        <f t="shared" si="36"/>
        <v>116.97841494110402</v>
      </c>
      <c r="BX18" s="11">
        <v>23235.56</v>
      </c>
      <c r="BY18" s="14">
        <f t="shared" si="37"/>
        <v>94.404298247823704</v>
      </c>
      <c r="BZ18" s="11">
        <v>24911.11</v>
      </c>
      <c r="CA18" s="14">
        <f t="shared" si="38"/>
        <v>107.21114533069141</v>
      </c>
      <c r="CB18" s="11">
        <v>27404.44</v>
      </c>
      <c r="CC18" s="14">
        <f t="shared" si="39"/>
        <v>110.00890767211897</v>
      </c>
      <c r="CD18" s="20">
        <f t="shared" si="1"/>
        <v>128.37805615583133</v>
      </c>
    </row>
    <row r="19" spans="1:82" ht="25.5">
      <c r="A19" s="35">
        <f t="shared" si="40"/>
        <v>15</v>
      </c>
      <c r="B19" s="7" t="s">
        <v>22</v>
      </c>
      <c r="C19" s="11">
        <v>28698.1</v>
      </c>
      <c r="D19" s="11">
        <v>37160.199999999997</v>
      </c>
      <c r="E19" s="14">
        <f t="shared" si="2"/>
        <v>129.48662106550609</v>
      </c>
      <c r="F19" s="11">
        <v>40129.31</v>
      </c>
      <c r="G19" s="18">
        <f t="shared" si="0"/>
        <v>107.99002696433281</v>
      </c>
      <c r="H19" s="11">
        <v>40958.85</v>
      </c>
      <c r="I19" s="14">
        <f t="shared" si="3"/>
        <v>102.06716736470176</v>
      </c>
      <c r="J19" s="11">
        <v>36962.1</v>
      </c>
      <c r="K19" s="14">
        <f t="shared" si="4"/>
        <v>90.242035604026967</v>
      </c>
      <c r="L19" s="11">
        <v>38950</v>
      </c>
      <c r="M19" s="11">
        <f t="shared" si="5"/>
        <v>105.37821173580507</v>
      </c>
      <c r="N19" s="11">
        <v>48927.1</v>
      </c>
      <c r="O19" s="11">
        <f t="shared" si="6"/>
        <v>125.61514762516046</v>
      </c>
      <c r="P19" s="11">
        <v>50482.8</v>
      </c>
      <c r="Q19" s="11">
        <f t="shared" si="7"/>
        <v>103.17962846765904</v>
      </c>
      <c r="R19" s="11">
        <f t="shared" si="8"/>
        <v>175.90990344308511</v>
      </c>
      <c r="S19" s="11">
        <v>13065.5</v>
      </c>
      <c r="T19" s="11">
        <v>16242</v>
      </c>
      <c r="U19" s="14">
        <f t="shared" si="9"/>
        <v>124.31211970456546</v>
      </c>
      <c r="V19" s="11">
        <v>18839.89</v>
      </c>
      <c r="W19" s="14">
        <f t="shared" si="10"/>
        <v>115.99488979189753</v>
      </c>
      <c r="X19" s="11">
        <v>20065.02</v>
      </c>
      <c r="Y19" s="14">
        <f t="shared" si="11"/>
        <v>106.50285113129642</v>
      </c>
      <c r="Z19" s="11">
        <v>20319.400000000001</v>
      </c>
      <c r="AA19" s="14">
        <f t="shared" si="12"/>
        <v>101.26777845225175</v>
      </c>
      <c r="AB19" s="11">
        <v>20234.8</v>
      </c>
      <c r="AC19" s="14">
        <f t="shared" si="13"/>
        <v>99.583649123497736</v>
      </c>
      <c r="AD19" s="11">
        <v>24375.4</v>
      </c>
      <c r="AE19" s="14">
        <f t="shared" si="14"/>
        <v>120.46276711408071</v>
      </c>
      <c r="AF19" s="11">
        <v>25095.599999999999</v>
      </c>
      <c r="AG19" s="14">
        <f t="shared" si="15"/>
        <v>102.95461818062472</v>
      </c>
      <c r="AH19" s="14">
        <f t="shared" si="16"/>
        <v>87.446904150448972</v>
      </c>
      <c r="AI19" s="11">
        <v>7581.7</v>
      </c>
      <c r="AJ19" s="11">
        <v>9398.1</v>
      </c>
      <c r="AK19" s="14">
        <f t="shared" si="17"/>
        <v>123.95768758985453</v>
      </c>
      <c r="AL19" s="11">
        <v>10024.02</v>
      </c>
      <c r="AM19" s="14">
        <f t="shared" si="18"/>
        <v>106.66006958853384</v>
      </c>
      <c r="AN19" s="11">
        <v>10414.950000000001</v>
      </c>
      <c r="AO19" s="14">
        <f t="shared" si="19"/>
        <v>103.89993236246535</v>
      </c>
      <c r="AP19" s="11">
        <v>10937.8</v>
      </c>
      <c r="AQ19" s="14">
        <f t="shared" si="20"/>
        <v>105.02018732687146</v>
      </c>
      <c r="AR19" s="11">
        <v>13585</v>
      </c>
      <c r="AS19" s="14">
        <f t="shared" si="21"/>
        <v>124.20230759384887</v>
      </c>
      <c r="AT19" s="11">
        <v>24367.8</v>
      </c>
      <c r="AU19" s="14">
        <f t="shared" si="22"/>
        <v>179.37283768862716</v>
      </c>
      <c r="AV19" s="11">
        <v>24461.599999999999</v>
      </c>
      <c r="AW19" s="14">
        <f t="shared" si="23"/>
        <v>100.38493421646599</v>
      </c>
      <c r="AX19" s="14">
        <f t="shared" si="24"/>
        <v>322.64004115172054</v>
      </c>
      <c r="AY19" s="11">
        <v>10575.4</v>
      </c>
      <c r="AZ19" s="11">
        <v>12106.6</v>
      </c>
      <c r="BA19" s="14">
        <f t="shared" si="25"/>
        <v>114.47888495943417</v>
      </c>
      <c r="BB19" s="11">
        <v>12783.54</v>
      </c>
      <c r="BC19" s="14">
        <f t="shared" si="26"/>
        <v>105.59149554788299</v>
      </c>
      <c r="BD19" s="11">
        <v>13626.16</v>
      </c>
      <c r="BE19" s="14">
        <f t="shared" si="27"/>
        <v>106.59144493622266</v>
      </c>
      <c r="BF19" s="11">
        <v>13763.8</v>
      </c>
      <c r="BG19" s="14">
        <f t="shared" si="28"/>
        <v>101.01011583600956</v>
      </c>
      <c r="BH19" s="11">
        <v>13751.9</v>
      </c>
      <c r="BI19" s="14">
        <f t="shared" si="29"/>
        <v>99.913541318531216</v>
      </c>
      <c r="BJ19" s="11">
        <f>50953/296.8/12*1000</f>
        <v>14306.210691823899</v>
      </c>
      <c r="BK19" s="14">
        <f t="shared" si="30"/>
        <v>104.03079350361695</v>
      </c>
      <c r="BL19" s="11">
        <f>17104.5/388.3/3*1000</f>
        <v>14683.234612413082</v>
      </c>
      <c r="BM19" s="14">
        <f t="shared" si="31"/>
        <v>102.63538632773425</v>
      </c>
      <c r="BN19" s="14">
        <f t="shared" si="32"/>
        <v>138.84330249837436</v>
      </c>
      <c r="BO19" s="11">
        <v>19652.349999999999</v>
      </c>
      <c r="BP19" s="11">
        <v>21428.78</v>
      </c>
      <c r="BQ19" s="14">
        <f t="shared" si="33"/>
        <v>109.03927520118459</v>
      </c>
      <c r="BR19" s="11">
        <v>23846.6</v>
      </c>
      <c r="BS19" s="14">
        <f t="shared" si="34"/>
        <v>111.2830501783116</v>
      </c>
      <c r="BT19" s="11">
        <v>23356.3</v>
      </c>
      <c r="BU19" s="14">
        <f t="shared" si="35"/>
        <v>97.94394169399412</v>
      </c>
      <c r="BV19" s="11">
        <v>25667.31</v>
      </c>
      <c r="BW19" s="14">
        <f t="shared" si="36"/>
        <v>109.89458946836615</v>
      </c>
      <c r="BX19" s="11">
        <v>29083.05</v>
      </c>
      <c r="BY19" s="14">
        <f t="shared" si="37"/>
        <v>113.30774436432955</v>
      </c>
      <c r="BZ19" s="11">
        <v>27938.5</v>
      </c>
      <c r="CA19" s="14">
        <f t="shared" si="38"/>
        <v>96.06454618755599</v>
      </c>
      <c r="CB19" s="11">
        <v>26843.46</v>
      </c>
      <c r="CC19" s="14">
        <f t="shared" si="39"/>
        <v>96.08053403010183</v>
      </c>
      <c r="CD19" s="20">
        <f t="shared" si="1"/>
        <v>136.59160354868501</v>
      </c>
    </row>
    <row r="20" spans="1:82" ht="38.25">
      <c r="A20" s="35">
        <f t="shared" si="40"/>
        <v>16</v>
      </c>
      <c r="B20" s="7" t="s">
        <v>23</v>
      </c>
      <c r="C20" s="11">
        <v>27954.9</v>
      </c>
      <c r="D20" s="11">
        <v>30296.400000000001</v>
      </c>
      <c r="E20" s="14">
        <f t="shared" si="2"/>
        <v>108.37599132889046</v>
      </c>
      <c r="F20" s="11">
        <v>34760.99</v>
      </c>
      <c r="G20" s="18">
        <f t="shared" si="0"/>
        <v>114.73637131804438</v>
      </c>
      <c r="H20" s="11">
        <v>35280.93</v>
      </c>
      <c r="I20" s="14">
        <f t="shared" si="3"/>
        <v>101.49575716917154</v>
      </c>
      <c r="J20" s="11">
        <v>34729.9</v>
      </c>
      <c r="K20" s="14">
        <f t="shared" si="4"/>
        <v>98.438164753593512</v>
      </c>
      <c r="L20" s="11">
        <v>35037</v>
      </c>
      <c r="M20" s="11">
        <f t="shared" si="5"/>
        <v>100.88425247409292</v>
      </c>
      <c r="N20" s="11">
        <v>48753</v>
      </c>
      <c r="O20" s="11">
        <f t="shared" si="6"/>
        <v>139.14718725918317</v>
      </c>
      <c r="P20" s="11">
        <v>49512.5</v>
      </c>
      <c r="Q20" s="11">
        <f t="shared" si="7"/>
        <v>101.55785285008101</v>
      </c>
      <c r="R20" s="11">
        <f t="shared" si="8"/>
        <v>177.11563983416144</v>
      </c>
      <c r="S20" s="11">
        <v>15382</v>
      </c>
      <c r="T20" s="11">
        <v>16339.4</v>
      </c>
      <c r="U20" s="14">
        <f t="shared" si="9"/>
        <v>106.22415810687818</v>
      </c>
      <c r="V20" s="11">
        <v>18256.439999999999</v>
      </c>
      <c r="W20" s="14">
        <f t="shared" si="10"/>
        <v>111.73262176089698</v>
      </c>
      <c r="X20" s="11">
        <v>18977.03</v>
      </c>
      <c r="Y20" s="14">
        <f t="shared" si="11"/>
        <v>103.94704553571232</v>
      </c>
      <c r="Z20" s="11">
        <v>19502.900000000001</v>
      </c>
      <c r="AA20" s="14">
        <f t="shared" si="12"/>
        <v>102.7710869403695</v>
      </c>
      <c r="AB20" s="11">
        <v>19610.7</v>
      </c>
      <c r="AC20" s="14">
        <f t="shared" si="13"/>
        <v>100.55273831071277</v>
      </c>
      <c r="AD20" s="11">
        <v>24373.3</v>
      </c>
      <c r="AE20" s="14">
        <f t="shared" si="14"/>
        <v>124.28572157036719</v>
      </c>
      <c r="AF20" s="11">
        <v>26485.7</v>
      </c>
      <c r="AG20" s="14">
        <f t="shared" si="15"/>
        <v>108.66686086824518</v>
      </c>
      <c r="AH20" s="14">
        <f t="shared" si="16"/>
        <v>94.744391859745519</v>
      </c>
      <c r="AI20" s="11">
        <v>7481.6</v>
      </c>
      <c r="AJ20" s="11">
        <v>9531.7000000000007</v>
      </c>
      <c r="AK20" s="14">
        <f t="shared" si="17"/>
        <v>127.40189264328485</v>
      </c>
      <c r="AL20" s="11">
        <v>9651.52</v>
      </c>
      <c r="AM20" s="14">
        <f t="shared" si="18"/>
        <v>101.25706851873221</v>
      </c>
      <c r="AN20" s="11">
        <v>10187.01</v>
      </c>
      <c r="AO20" s="14">
        <f t="shared" si="19"/>
        <v>105.54824525048905</v>
      </c>
      <c r="AP20" s="11">
        <v>11599.5</v>
      </c>
      <c r="AQ20" s="14">
        <f t="shared" si="20"/>
        <v>113.86559942515026</v>
      </c>
      <c r="AR20" s="11">
        <v>12850.3</v>
      </c>
      <c r="AS20" s="14">
        <f t="shared" si="21"/>
        <v>110.78322341480235</v>
      </c>
      <c r="AT20" s="11">
        <v>24376.6</v>
      </c>
      <c r="AU20" s="14">
        <f t="shared" si="22"/>
        <v>189.69673859754249</v>
      </c>
      <c r="AV20" s="11">
        <v>22233.200000000001</v>
      </c>
      <c r="AW20" s="14">
        <f t="shared" si="23"/>
        <v>91.207141274829155</v>
      </c>
      <c r="AX20" s="14">
        <f t="shared" si="24"/>
        <v>297.17172797262617</v>
      </c>
      <c r="AY20" s="11">
        <v>10991</v>
      </c>
      <c r="AZ20" s="11">
        <v>13090.1</v>
      </c>
      <c r="BA20" s="14">
        <f t="shared" si="25"/>
        <v>119.09835319807117</v>
      </c>
      <c r="BB20" s="11">
        <v>10189.66</v>
      </c>
      <c r="BC20" s="14">
        <f t="shared" si="26"/>
        <v>77.842491653998053</v>
      </c>
      <c r="BD20" s="11">
        <v>11555.71</v>
      </c>
      <c r="BE20" s="14">
        <f t="shared" si="27"/>
        <v>113.4062373033055</v>
      </c>
      <c r="BF20" s="11">
        <v>13619.5</v>
      </c>
      <c r="BG20" s="14">
        <f t="shared" si="28"/>
        <v>117.85948245499411</v>
      </c>
      <c r="BH20" s="11">
        <v>12885.5</v>
      </c>
      <c r="BI20" s="14">
        <f t="shared" si="29"/>
        <v>94.610668526744746</v>
      </c>
      <c r="BJ20" s="11">
        <f>44878.1/270.1/12*1000</f>
        <v>13846.137233123534</v>
      </c>
      <c r="BK20" s="14">
        <f t="shared" si="30"/>
        <v>107.45518011038403</v>
      </c>
      <c r="BL20" s="11">
        <f>17704.8/346.4/3*1000</f>
        <v>17036.951501154737</v>
      </c>
      <c r="BM20" s="14">
        <f t="shared" si="31"/>
        <v>123.04479736339715</v>
      </c>
      <c r="BN20" s="14">
        <f t="shared" si="32"/>
        <v>155.00820217591428</v>
      </c>
      <c r="BO20" s="11">
        <v>18747.060000000001</v>
      </c>
      <c r="BP20" s="11">
        <v>21462.04</v>
      </c>
      <c r="BQ20" s="14">
        <f t="shared" si="33"/>
        <v>114.48216413666997</v>
      </c>
      <c r="BR20" s="11">
        <v>19328</v>
      </c>
      <c r="BS20" s="14">
        <f t="shared" si="34"/>
        <v>90.056676811710346</v>
      </c>
      <c r="BT20" s="11">
        <v>22320.69</v>
      </c>
      <c r="BU20" s="14">
        <f t="shared" si="35"/>
        <v>115.48370240066224</v>
      </c>
      <c r="BV20" s="11">
        <v>23988.9</v>
      </c>
      <c r="BW20" s="14">
        <f t="shared" si="36"/>
        <v>107.47382809402399</v>
      </c>
      <c r="BX20" s="11">
        <v>24260.99</v>
      </c>
      <c r="BY20" s="14">
        <f t="shared" si="37"/>
        <v>101.13423291605702</v>
      </c>
      <c r="BZ20" s="11">
        <v>27034.720000000001</v>
      </c>
      <c r="CA20" s="14">
        <f t="shared" si="38"/>
        <v>111.43288052136371</v>
      </c>
      <c r="CB20" s="11">
        <v>26979.51</v>
      </c>
      <c r="CC20" s="14">
        <f t="shared" si="39"/>
        <v>99.795781128859474</v>
      </c>
      <c r="CD20" s="20">
        <f t="shared" si="1"/>
        <v>143.91328560318254</v>
      </c>
    </row>
    <row r="21" spans="1:82" ht="38.25">
      <c r="A21" s="35">
        <f t="shared" si="40"/>
        <v>17</v>
      </c>
      <c r="B21" s="7" t="s">
        <v>24</v>
      </c>
      <c r="C21" s="11">
        <v>29088.799999999999</v>
      </c>
      <c r="D21" s="11">
        <v>33170.6</v>
      </c>
      <c r="E21" s="14">
        <f t="shared" si="2"/>
        <v>114.03220483485053</v>
      </c>
      <c r="F21" s="11">
        <v>40478.18</v>
      </c>
      <c r="G21" s="18">
        <f t="shared" si="0"/>
        <v>122.03029188498249</v>
      </c>
      <c r="H21" s="11">
        <v>34937.379999999997</v>
      </c>
      <c r="I21" s="14">
        <f t="shared" si="3"/>
        <v>86.311637529157679</v>
      </c>
      <c r="J21" s="11">
        <v>36705.800000000003</v>
      </c>
      <c r="K21" s="14">
        <f t="shared" si="4"/>
        <v>105.06168464836232</v>
      </c>
      <c r="L21" s="11">
        <v>34621.599999999999</v>
      </c>
      <c r="M21" s="11">
        <f t="shared" si="5"/>
        <v>94.321878286265374</v>
      </c>
      <c r="N21" s="11">
        <v>48800</v>
      </c>
      <c r="O21" s="11">
        <f t="shared" si="6"/>
        <v>140.95246897890334</v>
      </c>
      <c r="P21" s="11">
        <v>48755.5</v>
      </c>
      <c r="Q21" s="11">
        <f t="shared" si="7"/>
        <v>99.908811475409834</v>
      </c>
      <c r="R21" s="11">
        <f t="shared" si="8"/>
        <v>167.60918291576138</v>
      </c>
      <c r="S21" s="11">
        <v>12316.7</v>
      </c>
      <c r="T21" s="11">
        <v>14338.5</v>
      </c>
      <c r="U21" s="14">
        <f t="shared" si="9"/>
        <v>116.41511119049746</v>
      </c>
      <c r="V21" s="11">
        <v>18936.88</v>
      </c>
      <c r="W21" s="14">
        <f t="shared" si="10"/>
        <v>132.07016075600657</v>
      </c>
      <c r="X21" s="11">
        <v>18893.34</v>
      </c>
      <c r="Y21" s="14">
        <f t="shared" si="11"/>
        <v>99.770078281110713</v>
      </c>
      <c r="Z21" s="11">
        <v>18881.099999999999</v>
      </c>
      <c r="AA21" s="14">
        <f t="shared" si="12"/>
        <v>99.935215266331937</v>
      </c>
      <c r="AB21" s="11">
        <v>18663.599999999999</v>
      </c>
      <c r="AC21" s="14">
        <f t="shared" si="13"/>
        <v>98.848054403609964</v>
      </c>
      <c r="AD21" s="11">
        <v>24367</v>
      </c>
      <c r="AE21" s="14">
        <f t="shared" si="14"/>
        <v>130.55894897018797</v>
      </c>
      <c r="AF21" s="11">
        <v>25442.5</v>
      </c>
      <c r="AG21" s="14">
        <f t="shared" si="15"/>
        <v>104.4137563097632</v>
      </c>
      <c r="AH21" s="14">
        <f t="shared" si="16"/>
        <v>87.46493495778445</v>
      </c>
      <c r="AI21" s="11">
        <v>6563</v>
      </c>
      <c r="AJ21" s="11">
        <v>7639.2</v>
      </c>
      <c r="AK21" s="14">
        <f t="shared" si="17"/>
        <v>116.39798872466859</v>
      </c>
      <c r="AL21" s="11">
        <v>10368.68</v>
      </c>
      <c r="AM21" s="14">
        <f t="shared" si="18"/>
        <v>135.72991936328413</v>
      </c>
      <c r="AN21" s="11">
        <v>10709.62</v>
      </c>
      <c r="AO21" s="14">
        <f t="shared" si="19"/>
        <v>103.28817168627057</v>
      </c>
      <c r="AP21" s="11">
        <v>12217.3</v>
      </c>
      <c r="AQ21" s="14">
        <f t="shared" si="20"/>
        <v>114.07781041717632</v>
      </c>
      <c r="AR21" s="11">
        <v>12652.4</v>
      </c>
      <c r="AS21" s="14">
        <f t="shared" si="21"/>
        <v>103.56134334100007</v>
      </c>
      <c r="AT21" s="11">
        <v>24366.9</v>
      </c>
      <c r="AU21" s="14">
        <f t="shared" si="22"/>
        <v>192.5871771363536</v>
      </c>
      <c r="AV21" s="11">
        <v>24369.200000000001</v>
      </c>
      <c r="AW21" s="14">
        <f t="shared" si="23"/>
        <v>100.00943903409953</v>
      </c>
      <c r="AX21" s="14">
        <f t="shared" si="24"/>
        <v>371.31190004571079</v>
      </c>
      <c r="AY21" s="11">
        <v>12758.4</v>
      </c>
      <c r="AZ21" s="11"/>
      <c r="BA21" s="14">
        <f t="shared" si="25"/>
        <v>0</v>
      </c>
      <c r="BB21" s="11">
        <v>14916.79</v>
      </c>
      <c r="BC21" s="14" t="e">
        <f t="shared" si="26"/>
        <v>#DIV/0!</v>
      </c>
      <c r="BD21" s="11">
        <v>15375.69</v>
      </c>
      <c r="BE21" s="14">
        <f t="shared" si="27"/>
        <v>103.07639914485623</v>
      </c>
      <c r="BF21" s="11">
        <v>16124.9</v>
      </c>
      <c r="BG21" s="14">
        <f t="shared" si="28"/>
        <v>104.87269189220126</v>
      </c>
      <c r="BH21" s="11">
        <v>14530.2</v>
      </c>
      <c r="BI21" s="14">
        <f t="shared" si="29"/>
        <v>90.110326265589251</v>
      </c>
      <c r="BJ21" s="11">
        <f>22896.3/131.4/12*1000</f>
        <v>14520.73820395738</v>
      </c>
      <c r="BK21" s="14">
        <f t="shared" si="30"/>
        <v>99.934881859557194</v>
      </c>
      <c r="BL21" s="11">
        <f>6943.7/145.6/3*1000</f>
        <v>15896.749084249086</v>
      </c>
      <c r="BM21" s="14">
        <f t="shared" si="31"/>
        <v>109.476177181658</v>
      </c>
      <c r="BN21" s="14">
        <f t="shared" si="32"/>
        <v>124.59829668492199</v>
      </c>
      <c r="BO21" s="11">
        <v>20589.2</v>
      </c>
      <c r="BP21" s="11">
        <v>21643.27</v>
      </c>
      <c r="BQ21" s="14">
        <f t="shared" si="33"/>
        <v>105.11952868494161</v>
      </c>
      <c r="BR21" s="11">
        <v>22474.43</v>
      </c>
      <c r="BS21" s="14">
        <f t="shared" si="34"/>
        <v>103.84026997768821</v>
      </c>
      <c r="BT21" s="11">
        <v>24452.98</v>
      </c>
      <c r="BU21" s="14">
        <f t="shared" si="35"/>
        <v>108.80356031276432</v>
      </c>
      <c r="BV21" s="11">
        <v>26511.54</v>
      </c>
      <c r="BW21" s="14">
        <f t="shared" si="36"/>
        <v>108.41844225121029</v>
      </c>
      <c r="BX21" s="11">
        <v>26710.61</v>
      </c>
      <c r="BY21" s="14">
        <f t="shared" si="37"/>
        <v>100.75088055993729</v>
      </c>
      <c r="BZ21" s="11">
        <v>28145.42</v>
      </c>
      <c r="CA21" s="14">
        <f t="shared" si="38"/>
        <v>105.37168563353663</v>
      </c>
      <c r="CB21" s="11">
        <v>29020</v>
      </c>
      <c r="CC21" s="14">
        <f t="shared" si="39"/>
        <v>103.10736169508219</v>
      </c>
      <c r="CD21" s="20">
        <f t="shared" si="1"/>
        <v>140.94768130864725</v>
      </c>
    </row>
    <row r="22" spans="1:82" ht="38.25">
      <c r="A22" s="35">
        <f t="shared" si="40"/>
        <v>18</v>
      </c>
      <c r="B22" s="7" t="s">
        <v>25</v>
      </c>
      <c r="C22" s="11">
        <v>26059.8</v>
      </c>
      <c r="D22" s="11">
        <v>32934.400000000001</v>
      </c>
      <c r="E22" s="14">
        <f>D22/C22*100</f>
        <v>126.38009501224107</v>
      </c>
      <c r="F22" s="11">
        <v>30888.63</v>
      </c>
      <c r="G22" s="18">
        <f t="shared" si="0"/>
        <v>93.788348960357553</v>
      </c>
      <c r="H22" s="11">
        <v>32999.39</v>
      </c>
      <c r="I22" s="14">
        <f t="shared" si="3"/>
        <v>106.83345295663808</v>
      </c>
      <c r="J22" s="11">
        <v>36861.9</v>
      </c>
      <c r="K22" s="14">
        <f t="shared" si="4"/>
        <v>111.70479211888463</v>
      </c>
      <c r="L22" s="11">
        <v>37846.5</v>
      </c>
      <c r="M22" s="11">
        <f t="shared" si="5"/>
        <v>102.67105059695783</v>
      </c>
      <c r="N22" s="11">
        <v>48554.1</v>
      </c>
      <c r="O22" s="11">
        <f t="shared" si="6"/>
        <v>128.29218025444888</v>
      </c>
      <c r="P22" s="11">
        <v>48586.5</v>
      </c>
      <c r="Q22" s="11">
        <f t="shared" si="7"/>
        <v>100.06672968915086</v>
      </c>
      <c r="R22" s="11">
        <f t="shared" si="8"/>
        <v>186.44233647226764</v>
      </c>
      <c r="S22" s="11">
        <v>14352.5</v>
      </c>
      <c r="T22" s="11">
        <v>16626.3</v>
      </c>
      <c r="U22" s="14">
        <f t="shared" si="9"/>
        <v>115.842536143529</v>
      </c>
      <c r="V22" s="11">
        <v>16941.349999999999</v>
      </c>
      <c r="W22" s="14">
        <f t="shared" si="10"/>
        <v>101.89488942218053</v>
      </c>
      <c r="X22" s="11">
        <v>18071.54</v>
      </c>
      <c r="Y22" s="14">
        <f t="shared" si="11"/>
        <v>106.67119208327556</v>
      </c>
      <c r="Z22" s="11">
        <v>19809.3</v>
      </c>
      <c r="AA22" s="14">
        <f t="shared" si="12"/>
        <v>109.61600394875035</v>
      </c>
      <c r="AB22" s="11">
        <v>19710.900000000001</v>
      </c>
      <c r="AC22" s="14">
        <f t="shared" si="13"/>
        <v>99.503263618603398</v>
      </c>
      <c r="AD22" s="11">
        <v>24425.7</v>
      </c>
      <c r="AE22" s="14">
        <f t="shared" si="14"/>
        <v>123.91976013271844</v>
      </c>
      <c r="AF22" s="11">
        <v>24465.7</v>
      </c>
      <c r="AG22" s="14">
        <f t="shared" si="15"/>
        <v>100.16376193926888</v>
      </c>
      <c r="AH22" s="14">
        <f t="shared" si="16"/>
        <v>93.882915448315032</v>
      </c>
      <c r="AI22" s="11">
        <v>6237.9</v>
      </c>
      <c r="AJ22" s="11">
        <v>9074</v>
      </c>
      <c r="AK22" s="14">
        <f t="shared" si="17"/>
        <v>145.46562144311389</v>
      </c>
      <c r="AL22" s="11">
        <v>11229.22</v>
      </c>
      <c r="AM22" s="14">
        <f t="shared" si="18"/>
        <v>123.75159797222834</v>
      </c>
      <c r="AN22" s="11">
        <v>11381.05</v>
      </c>
      <c r="AO22" s="14">
        <f t="shared" si="19"/>
        <v>101.35209747426804</v>
      </c>
      <c r="AP22" s="11">
        <v>11542.8</v>
      </c>
      <c r="AQ22" s="14">
        <f t="shared" si="20"/>
        <v>101.42122211922451</v>
      </c>
      <c r="AR22" s="11">
        <v>11328.2</v>
      </c>
      <c r="AS22" s="14">
        <f t="shared" si="21"/>
        <v>98.140832380358333</v>
      </c>
      <c r="AT22" s="11">
        <v>24368.400000000001</v>
      </c>
      <c r="AU22" s="14">
        <f t="shared" si="22"/>
        <v>215.11272752952806</v>
      </c>
      <c r="AV22" s="11">
        <v>24318.400000000001</v>
      </c>
      <c r="AW22" s="14">
        <f t="shared" si="23"/>
        <v>99.794816237422239</v>
      </c>
      <c r="AX22" s="14">
        <f t="shared" si="24"/>
        <v>389.84914795043204</v>
      </c>
      <c r="AY22" s="11">
        <v>16865.400000000001</v>
      </c>
      <c r="AZ22" s="11">
        <v>18490.7</v>
      </c>
      <c r="BA22" s="14">
        <f t="shared" si="25"/>
        <v>109.6368897268965</v>
      </c>
      <c r="BB22" s="11">
        <v>18378.599999999999</v>
      </c>
      <c r="BC22" s="14">
        <f t="shared" si="26"/>
        <v>99.393749290183692</v>
      </c>
      <c r="BD22" s="11">
        <v>18120.669999999998</v>
      </c>
      <c r="BE22" s="14">
        <f t="shared" si="27"/>
        <v>98.596574276604315</v>
      </c>
      <c r="BF22" s="11">
        <v>19242.400000000001</v>
      </c>
      <c r="BG22" s="14">
        <f t="shared" si="28"/>
        <v>106.19033402186567</v>
      </c>
      <c r="BH22" s="11">
        <v>19771</v>
      </c>
      <c r="BI22" s="14">
        <f t="shared" si="29"/>
        <v>102.74705857897143</v>
      </c>
      <c r="BJ22" s="11">
        <f>16989.9/83/12*1000</f>
        <v>17058.132530120485</v>
      </c>
      <c r="BK22" s="14">
        <f t="shared" si="30"/>
        <v>86.278552071824819</v>
      </c>
      <c r="BL22" s="11">
        <f>5050.5/90/3*1000</f>
        <v>18705.555555555555</v>
      </c>
      <c r="BM22" s="14">
        <f t="shared" si="31"/>
        <v>109.65769859347807</v>
      </c>
      <c r="BN22" s="14">
        <f t="shared" si="32"/>
        <v>110.91083256581851</v>
      </c>
      <c r="BO22" s="11">
        <v>13963.89</v>
      </c>
      <c r="BP22" s="11">
        <v>16005.15</v>
      </c>
      <c r="BQ22" s="14">
        <f t="shared" si="33"/>
        <v>114.61813291282014</v>
      </c>
      <c r="BR22" s="11">
        <v>19540.91</v>
      </c>
      <c r="BS22" s="14">
        <f t="shared" si="34"/>
        <v>122.09138933405809</v>
      </c>
      <c r="BT22" s="11">
        <v>22753.94</v>
      </c>
      <c r="BU22" s="14">
        <f t="shared" si="35"/>
        <v>116.44258123086387</v>
      </c>
      <c r="BV22" s="11">
        <v>24575.16</v>
      </c>
      <c r="BW22" s="14">
        <f t="shared" si="36"/>
        <v>108.00397645418771</v>
      </c>
      <c r="BX22" s="11">
        <v>25322.83</v>
      </c>
      <c r="BY22" s="14">
        <f t="shared" si="37"/>
        <v>103.0423810058612</v>
      </c>
      <c r="BZ22" s="11">
        <v>26019.84</v>
      </c>
      <c r="CA22" s="14">
        <f t="shared" si="38"/>
        <v>102.75249646267814</v>
      </c>
      <c r="CB22" s="11">
        <v>27377.63</v>
      </c>
      <c r="CC22" s="14">
        <f t="shared" si="39"/>
        <v>105.2182872761708</v>
      </c>
      <c r="CD22" s="20">
        <f t="shared" si="1"/>
        <v>196.0601952607762</v>
      </c>
    </row>
    <row r="23" spans="1:82" ht="25.5">
      <c r="A23" s="35">
        <f t="shared" si="40"/>
        <v>19</v>
      </c>
      <c r="B23" s="7" t="s">
        <v>26</v>
      </c>
      <c r="C23" s="11">
        <v>28003</v>
      </c>
      <c r="D23" s="11">
        <v>30127.3</v>
      </c>
      <c r="E23" s="14">
        <f t="shared" ref="E23:E72" si="41">D23/C23*100</f>
        <v>107.58597293147163</v>
      </c>
      <c r="F23" s="11">
        <v>30325</v>
      </c>
      <c r="G23" s="18">
        <f t="shared" si="0"/>
        <v>100.65621545906869</v>
      </c>
      <c r="H23" s="11">
        <v>33481.199999999997</v>
      </c>
      <c r="I23" s="14">
        <f t="shared" si="3"/>
        <v>110.40791426215992</v>
      </c>
      <c r="J23" s="11">
        <v>40875.9</v>
      </c>
      <c r="K23" s="14">
        <f t="shared" si="4"/>
        <v>122.08612594530663</v>
      </c>
      <c r="L23" s="11">
        <v>36372.300000000003</v>
      </c>
      <c r="M23" s="11">
        <f t="shared" si="5"/>
        <v>88.982260941043506</v>
      </c>
      <c r="N23" s="11">
        <v>48871.199999999997</v>
      </c>
      <c r="O23" s="11">
        <f t="shared" si="6"/>
        <v>134.36378782755008</v>
      </c>
      <c r="P23" s="11">
        <v>49348.6</v>
      </c>
      <c r="Q23" s="11">
        <f t="shared" si="7"/>
        <v>100.97685344333678</v>
      </c>
      <c r="R23" s="11">
        <f t="shared" si="8"/>
        <v>176.22611863014677</v>
      </c>
      <c r="S23" s="11">
        <v>13194.2</v>
      </c>
      <c r="T23" s="11">
        <v>14682.2</v>
      </c>
      <c r="U23" s="14">
        <f t="shared" si="9"/>
        <v>111.27768261812008</v>
      </c>
      <c r="V23" s="11">
        <v>17458.849999999999</v>
      </c>
      <c r="W23" s="14">
        <f t="shared" si="10"/>
        <v>118.91167536200295</v>
      </c>
      <c r="X23" s="11">
        <v>19284.009999999998</v>
      </c>
      <c r="Y23" s="14">
        <f t="shared" si="11"/>
        <v>110.45406770778143</v>
      </c>
      <c r="Z23" s="11">
        <v>21493.9</v>
      </c>
      <c r="AA23" s="14">
        <f t="shared" si="12"/>
        <v>111.45970158696248</v>
      </c>
      <c r="AB23" s="11">
        <v>21870.3</v>
      </c>
      <c r="AC23" s="14">
        <f t="shared" si="13"/>
        <v>101.75119452495824</v>
      </c>
      <c r="AD23" s="11">
        <v>24372.2</v>
      </c>
      <c r="AE23" s="14">
        <f t="shared" si="14"/>
        <v>111.43971504734733</v>
      </c>
      <c r="AF23" s="11">
        <v>24371.599999999999</v>
      </c>
      <c r="AG23" s="14">
        <f t="shared" si="15"/>
        <v>99.997538178744634</v>
      </c>
      <c r="AH23" s="14">
        <f t="shared" si="16"/>
        <v>87.032103703174656</v>
      </c>
      <c r="AI23" s="11">
        <v>7058.6</v>
      </c>
      <c r="AJ23" s="11">
        <v>8384.7000000000007</v>
      </c>
      <c r="AK23" s="14">
        <f t="shared" si="17"/>
        <v>118.78701158870031</v>
      </c>
      <c r="AL23" s="11">
        <v>9761.19</v>
      </c>
      <c r="AM23" s="14">
        <f t="shared" si="18"/>
        <v>116.41668753801567</v>
      </c>
      <c r="AN23" s="11">
        <v>11313.53</v>
      </c>
      <c r="AO23" s="14">
        <f t="shared" si="19"/>
        <v>115.90318393556522</v>
      </c>
      <c r="AP23" s="11">
        <v>12442.9</v>
      </c>
      <c r="AQ23" s="14">
        <f t="shared" si="20"/>
        <v>109.98247231412299</v>
      </c>
      <c r="AR23" s="11">
        <v>12770.4</v>
      </c>
      <c r="AS23" s="14">
        <f t="shared" si="21"/>
        <v>102.632023081436</v>
      </c>
      <c r="AT23" s="11">
        <v>24395.9</v>
      </c>
      <c r="AU23" s="14">
        <f t="shared" si="22"/>
        <v>191.03473657833743</v>
      </c>
      <c r="AV23" s="11">
        <v>24461</v>
      </c>
      <c r="AW23" s="14">
        <f t="shared" si="23"/>
        <v>100.26684811792146</v>
      </c>
      <c r="AX23" s="14">
        <f t="shared" si="24"/>
        <v>346.54180715722663</v>
      </c>
      <c r="AY23" s="11">
        <v>10739.4</v>
      </c>
      <c r="AZ23" s="11">
        <v>13196.4</v>
      </c>
      <c r="BA23" s="14">
        <f t="shared" si="25"/>
        <v>122.87837309346892</v>
      </c>
      <c r="BB23" s="11">
        <v>11275.21</v>
      </c>
      <c r="BC23" s="14">
        <f t="shared" si="26"/>
        <v>85.441559819344675</v>
      </c>
      <c r="BD23" s="11">
        <v>12961.79</v>
      </c>
      <c r="BE23" s="14">
        <f t="shared" si="27"/>
        <v>114.95830232873713</v>
      </c>
      <c r="BF23" s="11">
        <v>14951.7</v>
      </c>
      <c r="BG23" s="14">
        <f t="shared" si="28"/>
        <v>115.35212343356898</v>
      </c>
      <c r="BH23" s="11">
        <v>15487.6</v>
      </c>
      <c r="BI23" s="14">
        <f t="shared" si="29"/>
        <v>103.58420781583364</v>
      </c>
      <c r="BJ23" s="11">
        <f>15594.4/88.2/12*1000</f>
        <v>14733.938019652305</v>
      </c>
      <c r="BK23" s="14">
        <f t="shared" si="30"/>
        <v>95.133771660246296</v>
      </c>
      <c r="BL23" s="11">
        <f>4242.8/82.3/3*1000</f>
        <v>17184.285135682461</v>
      </c>
      <c r="BM23" s="14">
        <f t="shared" si="31"/>
        <v>116.63063271178318</v>
      </c>
      <c r="BN23" s="14">
        <f t="shared" si="32"/>
        <v>160.01159408982312</v>
      </c>
      <c r="BO23" s="11">
        <v>12365.69</v>
      </c>
      <c r="BP23" s="11">
        <v>13346.47</v>
      </c>
      <c r="BQ23" s="14">
        <f t="shared" si="33"/>
        <v>107.93146197260322</v>
      </c>
      <c r="BR23" s="11">
        <v>15335.84</v>
      </c>
      <c r="BS23" s="14">
        <f t="shared" si="34"/>
        <v>114.90558926817354</v>
      </c>
      <c r="BT23" s="11">
        <v>19633.689999999999</v>
      </c>
      <c r="BU23" s="14">
        <f t="shared" si="35"/>
        <v>128.02487506390258</v>
      </c>
      <c r="BV23" s="11">
        <v>19852.34</v>
      </c>
      <c r="BW23" s="14">
        <f t="shared" si="36"/>
        <v>101.1136470016589</v>
      </c>
      <c r="BX23" s="11">
        <v>19489.21</v>
      </c>
      <c r="BY23" s="14">
        <f t="shared" si="37"/>
        <v>98.17084535122811</v>
      </c>
      <c r="BZ23" s="11">
        <v>21394.16</v>
      </c>
      <c r="CA23" s="14">
        <f t="shared" si="38"/>
        <v>109.77438285081848</v>
      </c>
      <c r="CB23" s="11">
        <v>22920.48</v>
      </c>
      <c r="CC23" s="14">
        <f t="shared" si="39"/>
        <v>107.13428337452837</v>
      </c>
      <c r="CD23" s="20">
        <f t="shared" si="1"/>
        <v>185.35544720917312</v>
      </c>
    </row>
    <row r="24" spans="1:82" ht="51">
      <c r="A24" s="35">
        <f t="shared" si="40"/>
        <v>20</v>
      </c>
      <c r="B24" s="7" t="s">
        <v>27</v>
      </c>
      <c r="C24" s="11">
        <v>26201</v>
      </c>
      <c r="D24" s="11">
        <v>36485.4</v>
      </c>
      <c r="E24" s="14">
        <f t="shared" si="41"/>
        <v>139.25193694897143</v>
      </c>
      <c r="F24" s="11">
        <v>32785.71</v>
      </c>
      <c r="G24" s="18">
        <f t="shared" si="0"/>
        <v>89.85980693647322</v>
      </c>
      <c r="H24" s="11">
        <v>31410.26</v>
      </c>
      <c r="I24" s="14">
        <f t="shared" si="3"/>
        <v>95.80472712044363</v>
      </c>
      <c r="J24" s="11">
        <v>30388.400000000001</v>
      </c>
      <c r="K24" s="14">
        <f t="shared" si="4"/>
        <v>96.746731800373524</v>
      </c>
      <c r="L24" s="11">
        <v>31807.02</v>
      </c>
      <c r="M24" s="11">
        <f t="shared" si="5"/>
        <v>104.66829448078872</v>
      </c>
      <c r="N24" s="11">
        <v>47931</v>
      </c>
      <c r="O24" s="11">
        <f t="shared" si="6"/>
        <v>150.69314887090962</v>
      </c>
      <c r="P24" s="11">
        <v>46990.9</v>
      </c>
      <c r="Q24" s="11">
        <f t="shared" si="7"/>
        <v>98.038638876718622</v>
      </c>
      <c r="R24" s="11">
        <f t="shared" si="8"/>
        <v>179.34773481928173</v>
      </c>
      <c r="S24" s="11">
        <v>10831.8</v>
      </c>
      <c r="T24" s="11">
        <v>16150</v>
      </c>
      <c r="U24" s="14">
        <f t="shared" si="9"/>
        <v>149.09802618216733</v>
      </c>
      <c r="V24" s="11">
        <v>16449.310000000001</v>
      </c>
      <c r="W24" s="14">
        <f t="shared" si="10"/>
        <v>101.85331269349847</v>
      </c>
      <c r="X24" s="11">
        <v>16378.73</v>
      </c>
      <c r="Y24" s="14">
        <f t="shared" si="11"/>
        <v>99.570924251533938</v>
      </c>
      <c r="Z24" s="11">
        <v>15942.4</v>
      </c>
      <c r="AA24" s="14">
        <f t="shared" si="12"/>
        <v>97.335996136452579</v>
      </c>
      <c r="AB24" s="11">
        <v>16668.8</v>
      </c>
      <c r="AC24" s="14">
        <f t="shared" si="13"/>
        <v>104.55640305098355</v>
      </c>
      <c r="AD24" s="11">
        <v>24275.1</v>
      </c>
      <c r="AE24" s="14">
        <f t="shared" si="14"/>
        <v>145.631959109234</v>
      </c>
      <c r="AF24" s="11">
        <v>23593.3</v>
      </c>
      <c r="AG24" s="14">
        <f t="shared" si="15"/>
        <v>97.191360694703633</v>
      </c>
      <c r="AH24" s="14">
        <f t="shared" si="16"/>
        <v>90.047326437922209</v>
      </c>
      <c r="AI24" s="11">
        <v>8028.3</v>
      </c>
      <c r="AJ24" s="11">
        <v>12012.5</v>
      </c>
      <c r="AK24" s="14">
        <f t="shared" si="17"/>
        <v>149.62694468318324</v>
      </c>
      <c r="AL24" s="11">
        <v>9702.08</v>
      </c>
      <c r="AM24" s="14">
        <f t="shared" si="18"/>
        <v>80.766534859521329</v>
      </c>
      <c r="AN24" s="11">
        <v>11282.41</v>
      </c>
      <c r="AO24" s="14">
        <f t="shared" si="19"/>
        <v>116.28856904911112</v>
      </c>
      <c r="AP24" s="11">
        <v>13458.3</v>
      </c>
      <c r="AQ24" s="14">
        <f t="shared" si="20"/>
        <v>119.28568453016686</v>
      </c>
      <c r="AR24" s="11">
        <v>15151</v>
      </c>
      <c r="AS24" s="14">
        <f t="shared" si="21"/>
        <v>112.57736861267769</v>
      </c>
      <c r="AT24" s="11">
        <v>23708.3</v>
      </c>
      <c r="AU24" s="14">
        <f t="shared" si="22"/>
        <v>156.48010032341099</v>
      </c>
      <c r="AV24" s="11">
        <v>0</v>
      </c>
      <c r="AW24" s="14">
        <f t="shared" si="23"/>
        <v>0</v>
      </c>
      <c r="AX24" s="14">
        <f t="shared" si="24"/>
        <v>0</v>
      </c>
      <c r="AY24" s="11">
        <v>15942.5</v>
      </c>
      <c r="AZ24" s="11">
        <v>23438</v>
      </c>
      <c r="BA24" s="14">
        <f t="shared" si="25"/>
        <v>147.01583816841776</v>
      </c>
      <c r="BB24" s="11">
        <v>15856.3</v>
      </c>
      <c r="BC24" s="14">
        <f t="shared" si="26"/>
        <v>67.652103421793669</v>
      </c>
      <c r="BD24" s="11">
        <v>15771.88</v>
      </c>
      <c r="BE24" s="14">
        <f t="shared" si="27"/>
        <v>99.467593322527961</v>
      </c>
      <c r="BF24" s="11">
        <v>15305.9</v>
      </c>
      <c r="BG24" s="14">
        <f t="shared" si="28"/>
        <v>97.045501233841506</v>
      </c>
      <c r="BH24" s="11">
        <v>16578.5</v>
      </c>
      <c r="BI24" s="14">
        <f t="shared" si="29"/>
        <v>108.31444083654016</v>
      </c>
      <c r="BJ24" s="11">
        <f>2339.7/11.3/12*1000</f>
        <v>17254.424778761058</v>
      </c>
      <c r="BK24" s="14">
        <f t="shared" si="30"/>
        <v>104.07711661948342</v>
      </c>
      <c r="BL24" s="11">
        <f>761.4/11.3/3*1000</f>
        <v>22460.176991150438</v>
      </c>
      <c r="BM24" s="14">
        <f t="shared" si="31"/>
        <v>130.17053468393385</v>
      </c>
      <c r="BN24" s="14">
        <f t="shared" si="32"/>
        <v>140.88240232805668</v>
      </c>
      <c r="BO24" s="11">
        <v>15916.67</v>
      </c>
      <c r="BP24" s="11">
        <v>19415.03</v>
      </c>
      <c r="BQ24" s="14">
        <f t="shared" si="33"/>
        <v>121.97922052791192</v>
      </c>
      <c r="BR24" s="11">
        <v>20617.650000000001</v>
      </c>
      <c r="BS24" s="14">
        <f t="shared" si="34"/>
        <v>106.19427319968089</v>
      </c>
      <c r="BT24" s="11">
        <v>18566.669999999998</v>
      </c>
      <c r="BU24" s="14">
        <f t="shared" si="35"/>
        <v>90.052309550312458</v>
      </c>
      <c r="BV24" s="11">
        <v>19770.830000000002</v>
      </c>
      <c r="BW24" s="14">
        <f t="shared" si="36"/>
        <v>106.48560027188508</v>
      </c>
      <c r="BX24" s="11">
        <v>20001.490000000002</v>
      </c>
      <c r="BY24" s="14">
        <f t="shared" si="37"/>
        <v>101.16666826835292</v>
      </c>
      <c r="BZ24" s="11">
        <v>22209.02</v>
      </c>
      <c r="CA24" s="14">
        <f t="shared" si="38"/>
        <v>111.03682775633214</v>
      </c>
      <c r="CB24" s="11">
        <v>21842.86</v>
      </c>
      <c r="CC24" s="14">
        <f t="shared" si="39"/>
        <v>98.351300507631592</v>
      </c>
      <c r="CD24" s="20">
        <f t="shared" si="1"/>
        <v>137.23259953243991</v>
      </c>
    </row>
    <row r="25" spans="1:82" ht="51">
      <c r="A25" s="35">
        <f t="shared" si="40"/>
        <v>21</v>
      </c>
      <c r="B25" s="7" t="s">
        <v>28</v>
      </c>
      <c r="C25" s="11">
        <v>26189.9</v>
      </c>
      <c r="D25" s="11">
        <v>34893.1</v>
      </c>
      <c r="E25" s="14">
        <f t="shared" si="41"/>
        <v>133.23113108488386</v>
      </c>
      <c r="F25" s="11">
        <v>38715.15</v>
      </c>
      <c r="G25" s="18">
        <f t="shared" si="0"/>
        <v>110.9535982758769</v>
      </c>
      <c r="H25" s="11">
        <v>38624.25</v>
      </c>
      <c r="I25" s="14">
        <f t="shared" si="3"/>
        <v>99.765208193691606</v>
      </c>
      <c r="J25" s="11">
        <v>39230.5</v>
      </c>
      <c r="K25" s="14">
        <f t="shared" si="4"/>
        <v>101.56960976588543</v>
      </c>
      <c r="L25" s="11">
        <v>40041.4</v>
      </c>
      <c r="M25" s="11">
        <f t="shared" si="5"/>
        <v>102.06701418539149</v>
      </c>
      <c r="N25" s="11">
        <v>49498.2</v>
      </c>
      <c r="O25" s="11">
        <f t="shared" si="6"/>
        <v>123.61755582971622</v>
      </c>
      <c r="P25" s="11">
        <v>50963.3</v>
      </c>
      <c r="Q25" s="11">
        <f t="shared" si="7"/>
        <v>102.95990561272936</v>
      </c>
      <c r="R25" s="11">
        <f t="shared" si="8"/>
        <v>194.5914264659277</v>
      </c>
      <c r="S25" s="11">
        <v>15160.2</v>
      </c>
      <c r="T25" s="11">
        <v>20420.900000000001</v>
      </c>
      <c r="U25" s="14">
        <f t="shared" si="9"/>
        <v>134.70072954182663</v>
      </c>
      <c r="V25" s="11">
        <v>23263.16</v>
      </c>
      <c r="W25" s="14">
        <f t="shared" si="10"/>
        <v>113.9183875343398</v>
      </c>
      <c r="X25" s="11">
        <v>24236.89</v>
      </c>
      <c r="Y25" s="14">
        <f t="shared" si="11"/>
        <v>104.18571681577222</v>
      </c>
      <c r="Z25" s="11">
        <v>26898.9</v>
      </c>
      <c r="AA25" s="14">
        <f t="shared" si="12"/>
        <v>110.98329859977912</v>
      </c>
      <c r="AB25" s="11">
        <v>26758.799999999999</v>
      </c>
      <c r="AC25" s="14">
        <f t="shared" si="13"/>
        <v>99.479160857878938</v>
      </c>
      <c r="AD25" s="11">
        <v>30855.200000000001</v>
      </c>
      <c r="AE25" s="14">
        <f t="shared" si="14"/>
        <v>115.30860875674544</v>
      </c>
      <c r="AF25" s="11">
        <v>35522.9</v>
      </c>
      <c r="AG25" s="14">
        <f t="shared" si="15"/>
        <v>115.127758044025</v>
      </c>
      <c r="AH25" s="14">
        <f t="shared" si="16"/>
        <v>135.63587489833867</v>
      </c>
      <c r="AI25" s="11">
        <v>3741</v>
      </c>
      <c r="AJ25" s="11">
        <v>6464.8</v>
      </c>
      <c r="AK25" s="14">
        <f t="shared" si="17"/>
        <v>172.80940924886394</v>
      </c>
      <c r="AL25" s="11">
        <v>14516.67</v>
      </c>
      <c r="AM25" s="14">
        <f t="shared" si="18"/>
        <v>224.54940601410715</v>
      </c>
      <c r="AN25" s="11">
        <v>12283.33</v>
      </c>
      <c r="AO25" s="14">
        <f t="shared" si="19"/>
        <v>84.615342223802017</v>
      </c>
      <c r="AP25" s="11">
        <v>5329.4</v>
      </c>
      <c r="AQ25" s="14">
        <f t="shared" si="20"/>
        <v>43.387257364248946</v>
      </c>
      <c r="AR25" s="11">
        <v>14052.8</v>
      </c>
      <c r="AS25" s="14">
        <f t="shared" si="21"/>
        <v>263.68446729462977</v>
      </c>
      <c r="AT25" s="11">
        <v>18972.2</v>
      </c>
      <c r="AU25" s="14">
        <f t="shared" si="22"/>
        <v>135.00654673801665</v>
      </c>
      <c r="AV25" s="11">
        <v>0</v>
      </c>
      <c r="AW25" s="14">
        <f t="shared" si="23"/>
        <v>0</v>
      </c>
      <c r="AX25" s="14">
        <f t="shared" si="24"/>
        <v>0</v>
      </c>
      <c r="AY25" s="11">
        <v>12767.5</v>
      </c>
      <c r="AZ25" s="11">
        <v>16222.2</v>
      </c>
      <c r="BA25" s="14">
        <f t="shared" si="25"/>
        <v>127.05854709222638</v>
      </c>
      <c r="BB25" s="11">
        <v>17373.3</v>
      </c>
      <c r="BC25" s="14">
        <f t="shared" si="26"/>
        <v>107.09583163812553</v>
      </c>
      <c r="BD25" s="11">
        <v>21614.639999999999</v>
      </c>
      <c r="BE25" s="14">
        <f t="shared" si="27"/>
        <v>124.41297853602941</v>
      </c>
      <c r="BF25" s="11">
        <v>17761.3</v>
      </c>
      <c r="BG25" s="14">
        <f t="shared" si="28"/>
        <v>82.172546015108267</v>
      </c>
      <c r="BH25" s="11">
        <v>16269</v>
      </c>
      <c r="BI25" s="14">
        <f t="shared" si="29"/>
        <v>91.598024919347125</v>
      </c>
      <c r="BJ25" s="11">
        <f>7031.2/32/12*1000</f>
        <v>18310.416666666664</v>
      </c>
      <c r="BK25" s="14">
        <f t="shared" si="30"/>
        <v>112.54789272030649</v>
      </c>
      <c r="BL25" s="11">
        <f>1864.4/31.5/3*1000</f>
        <v>19729.100529100531</v>
      </c>
      <c r="BM25" s="14">
        <f t="shared" si="31"/>
        <v>107.74796056398061</v>
      </c>
      <c r="BN25" s="14">
        <f t="shared" si="32"/>
        <v>154.52594892579231</v>
      </c>
      <c r="BO25" s="11">
        <v>12482.94</v>
      </c>
      <c r="BP25" s="11">
        <v>13725.44</v>
      </c>
      <c r="BQ25" s="14">
        <f t="shared" si="33"/>
        <v>109.95358465233352</v>
      </c>
      <c r="BR25" s="11">
        <v>15807.22</v>
      </c>
      <c r="BS25" s="14">
        <f t="shared" si="34"/>
        <v>115.16730975473281</v>
      </c>
      <c r="BT25" s="11">
        <v>17246.36</v>
      </c>
      <c r="BU25" s="14">
        <f t="shared" si="35"/>
        <v>109.10432068383942</v>
      </c>
      <c r="BV25" s="11">
        <v>18673.849999999999</v>
      </c>
      <c r="BW25" s="14">
        <f t="shared" si="36"/>
        <v>108.27705092552861</v>
      </c>
      <c r="BX25" s="11">
        <v>20530.55</v>
      </c>
      <c r="BY25" s="14">
        <f t="shared" si="37"/>
        <v>109.94278094768887</v>
      </c>
      <c r="BZ25" s="11">
        <v>22888.35</v>
      </c>
      <c r="CA25" s="14">
        <f t="shared" si="38"/>
        <v>111.48434893366228</v>
      </c>
      <c r="CB25" s="11">
        <v>24469.23</v>
      </c>
      <c r="CC25" s="14">
        <f t="shared" si="39"/>
        <v>106.9069198959296</v>
      </c>
      <c r="CD25" s="20">
        <f t="shared" si="1"/>
        <v>196.02136996572921</v>
      </c>
    </row>
    <row r="26" spans="1:82" ht="38.25">
      <c r="A26" s="35">
        <f t="shared" si="40"/>
        <v>22</v>
      </c>
      <c r="B26" s="7" t="s">
        <v>29</v>
      </c>
      <c r="C26" s="11">
        <v>28368.2</v>
      </c>
      <c r="D26" s="11">
        <v>39461.800000000003</v>
      </c>
      <c r="E26" s="14">
        <f t="shared" si="41"/>
        <v>139.10575926565662</v>
      </c>
      <c r="F26" s="11">
        <v>44250</v>
      </c>
      <c r="G26" s="18">
        <f t="shared" si="0"/>
        <v>112.1337597372649</v>
      </c>
      <c r="H26" s="11">
        <v>40035.089999999997</v>
      </c>
      <c r="I26" s="14">
        <f t="shared" si="3"/>
        <v>90.474779661016953</v>
      </c>
      <c r="J26" s="11">
        <v>52528.9</v>
      </c>
      <c r="K26" s="14">
        <f t="shared" si="4"/>
        <v>131.20714852895298</v>
      </c>
      <c r="L26" s="11">
        <v>48473</v>
      </c>
      <c r="M26" s="11">
        <f t="shared" si="5"/>
        <v>92.278726567660854</v>
      </c>
      <c r="N26" s="11">
        <v>50018</v>
      </c>
      <c r="O26" s="11">
        <f t="shared" si="6"/>
        <v>103.18734140655623</v>
      </c>
      <c r="P26" s="11">
        <v>53741.7</v>
      </c>
      <c r="Q26" s="11">
        <f t="shared" si="7"/>
        <v>107.44471990083568</v>
      </c>
      <c r="R26" s="11">
        <f t="shared" si="8"/>
        <v>189.44346134051506</v>
      </c>
      <c r="S26" s="11">
        <v>17507.8</v>
      </c>
      <c r="T26" s="11">
        <v>24321.3</v>
      </c>
      <c r="U26" s="14">
        <f t="shared" si="9"/>
        <v>138.91693987822572</v>
      </c>
      <c r="V26" s="11">
        <v>26358.18</v>
      </c>
      <c r="W26" s="14">
        <f t="shared" si="10"/>
        <v>108.37488127690544</v>
      </c>
      <c r="X26" s="11">
        <v>20910.54</v>
      </c>
      <c r="Y26" s="14">
        <f t="shared" si="11"/>
        <v>79.332260421622436</v>
      </c>
      <c r="Z26" s="11">
        <v>25612.400000000001</v>
      </c>
      <c r="AA26" s="14">
        <f t="shared" si="12"/>
        <v>122.48559817202234</v>
      </c>
      <c r="AB26" s="11">
        <v>25217.4</v>
      </c>
      <c r="AC26" s="14">
        <f t="shared" si="13"/>
        <v>98.457778263653537</v>
      </c>
      <c r="AD26" s="11">
        <v>27142.2</v>
      </c>
      <c r="AE26" s="14">
        <f t="shared" si="14"/>
        <v>107.63282495419828</v>
      </c>
      <c r="AF26" s="11">
        <v>29419.4</v>
      </c>
      <c r="AG26" s="14">
        <f t="shared" si="15"/>
        <v>108.38988733411441</v>
      </c>
      <c r="AH26" s="14">
        <f t="shared" si="16"/>
        <v>103.70555763143238</v>
      </c>
      <c r="AI26" s="11">
        <v>12774.7</v>
      </c>
      <c r="AJ26" s="11">
        <v>19217.3</v>
      </c>
      <c r="AK26" s="14">
        <f t="shared" si="17"/>
        <v>150.43249547934587</v>
      </c>
      <c r="AL26" s="11">
        <v>16482.14</v>
      </c>
      <c r="AM26" s="14">
        <f t="shared" si="18"/>
        <v>85.767199346422231</v>
      </c>
      <c r="AN26" s="11">
        <v>13796.59</v>
      </c>
      <c r="AO26" s="14">
        <f t="shared" si="19"/>
        <v>83.706302700984224</v>
      </c>
      <c r="AP26" s="11">
        <v>14017.6</v>
      </c>
      <c r="AQ26" s="14">
        <f t="shared" si="20"/>
        <v>101.60191757528492</v>
      </c>
      <c r="AR26" s="11">
        <v>17117.900000000001</v>
      </c>
      <c r="AS26" s="14">
        <f t="shared" si="21"/>
        <v>122.11719552562495</v>
      </c>
      <c r="AT26" s="11">
        <v>24690.1</v>
      </c>
      <c r="AU26" s="14">
        <f t="shared" si="22"/>
        <v>144.23556627857388</v>
      </c>
      <c r="AV26" s="11">
        <v>26051.9</v>
      </c>
      <c r="AW26" s="14">
        <f t="shared" si="23"/>
        <v>105.51557101834339</v>
      </c>
      <c r="AX26" s="14">
        <f t="shared" si="24"/>
        <v>203.93355616961651</v>
      </c>
      <c r="AY26" s="11">
        <v>15029.6</v>
      </c>
      <c r="AZ26" s="11">
        <v>27264.5</v>
      </c>
      <c r="BA26" s="14">
        <f t="shared" si="25"/>
        <v>181.40536008942354</v>
      </c>
      <c r="BB26" s="11">
        <v>29528.2</v>
      </c>
      <c r="BC26" s="14">
        <f t="shared" si="26"/>
        <v>108.30273799262777</v>
      </c>
      <c r="BD26" s="11">
        <v>26913.18</v>
      </c>
      <c r="BE26" s="14">
        <f t="shared" si="27"/>
        <v>91.143991167765051</v>
      </c>
      <c r="BF26" s="11">
        <v>22832.5</v>
      </c>
      <c r="BG26" s="14">
        <f t="shared" si="28"/>
        <v>84.837614878657959</v>
      </c>
      <c r="BH26" s="11">
        <v>22784.400000000001</v>
      </c>
      <c r="BI26" s="14">
        <f t="shared" si="29"/>
        <v>99.789335377203557</v>
      </c>
      <c r="BJ26" s="11">
        <f>5558.3/20.1/12*1000</f>
        <v>23044.361525704811</v>
      </c>
      <c r="BK26" s="14">
        <f t="shared" si="30"/>
        <v>101.14096278903463</v>
      </c>
      <c r="BL26" s="11">
        <f>1540.1/18.5/3*1000</f>
        <v>27749.549549549545</v>
      </c>
      <c r="BM26" s="14">
        <f t="shared" si="31"/>
        <v>120.41795785314484</v>
      </c>
      <c r="BN26" s="14">
        <f t="shared" si="32"/>
        <v>184.63265522402156</v>
      </c>
      <c r="BO26" s="11">
        <v>23269.17</v>
      </c>
      <c r="BP26" s="11">
        <v>28446.67</v>
      </c>
      <c r="BQ26" s="14">
        <f t="shared" si="33"/>
        <v>122.25047133180944</v>
      </c>
      <c r="BR26" s="11">
        <v>18473.98</v>
      </c>
      <c r="BS26" s="14">
        <f t="shared" si="34"/>
        <v>64.94250469387103</v>
      </c>
      <c r="BT26" s="11">
        <v>31524.959999999999</v>
      </c>
      <c r="BU26" s="14">
        <f t="shared" si="35"/>
        <v>170.64519935606728</v>
      </c>
      <c r="BV26" s="11">
        <v>30757.5</v>
      </c>
      <c r="BW26" s="14">
        <f t="shared" si="36"/>
        <v>97.565548060965028</v>
      </c>
      <c r="BX26" s="11">
        <v>30440</v>
      </c>
      <c r="BY26" s="14">
        <f t="shared" si="37"/>
        <v>98.967731447614398</v>
      </c>
      <c r="BZ26" s="11">
        <v>30636.04</v>
      </c>
      <c r="CA26" s="14">
        <f t="shared" si="38"/>
        <v>100.64402102496715</v>
      </c>
      <c r="CB26" s="11">
        <v>32701.85</v>
      </c>
      <c r="CC26" s="14">
        <f t="shared" si="39"/>
        <v>106.74307123244387</v>
      </c>
      <c r="CD26" s="20">
        <f t="shared" si="1"/>
        <v>140.53724305594056</v>
      </c>
    </row>
    <row r="27" spans="1:82" ht="38.25">
      <c r="A27" s="35">
        <f t="shared" si="40"/>
        <v>23</v>
      </c>
      <c r="B27" s="7" t="s">
        <v>30</v>
      </c>
      <c r="C27" s="11">
        <v>33033.300000000003</v>
      </c>
      <c r="D27" s="11">
        <v>35891.699999999997</v>
      </c>
      <c r="E27" s="14">
        <f t="shared" si="41"/>
        <v>108.65308643096509</v>
      </c>
      <c r="F27" s="11">
        <v>35959.26</v>
      </c>
      <c r="G27" s="18">
        <f t="shared" si="0"/>
        <v>100.18823293407671</v>
      </c>
      <c r="H27" s="11">
        <v>33067.269999999997</v>
      </c>
      <c r="I27" s="14">
        <f t="shared" si="3"/>
        <v>91.957593120659311</v>
      </c>
      <c r="J27" s="11">
        <v>38496</v>
      </c>
      <c r="K27" s="14">
        <f t="shared" si="4"/>
        <v>116.41723069367384</v>
      </c>
      <c r="L27" s="11">
        <v>40384.199999999997</v>
      </c>
      <c r="M27" s="11">
        <f t="shared" si="5"/>
        <v>104.9049251870324</v>
      </c>
      <c r="N27" s="11">
        <v>46850.2</v>
      </c>
      <c r="O27" s="11">
        <f t="shared" si="6"/>
        <v>116.01121230580276</v>
      </c>
      <c r="P27" s="11">
        <v>48013.7</v>
      </c>
      <c r="Q27" s="11">
        <f t="shared" si="7"/>
        <v>102.48344724248777</v>
      </c>
      <c r="R27" s="11">
        <f t="shared" si="8"/>
        <v>145.34938985811286</v>
      </c>
      <c r="S27" s="11">
        <v>10941.1</v>
      </c>
      <c r="T27" s="11">
        <v>11872.6</v>
      </c>
      <c r="U27" s="14">
        <f t="shared" si="9"/>
        <v>108.51376918225772</v>
      </c>
      <c r="V27" s="11">
        <v>14092.56</v>
      </c>
      <c r="W27" s="14">
        <f t="shared" si="10"/>
        <v>118.69817900038744</v>
      </c>
      <c r="X27" s="11">
        <v>14154.28</v>
      </c>
      <c r="Y27" s="14">
        <f t="shared" si="11"/>
        <v>100.43796159108069</v>
      </c>
      <c r="Z27" s="11">
        <v>16495.099999999999</v>
      </c>
      <c r="AA27" s="14">
        <f t="shared" si="12"/>
        <v>116.53789525147162</v>
      </c>
      <c r="AB27" s="11">
        <v>16172.4</v>
      </c>
      <c r="AC27" s="14">
        <f t="shared" si="13"/>
        <v>98.043661450976359</v>
      </c>
      <c r="AD27" s="11">
        <v>20411</v>
      </c>
      <c r="AE27" s="14">
        <f t="shared" si="14"/>
        <v>126.20884964507432</v>
      </c>
      <c r="AF27" s="11">
        <v>20860.099999999999</v>
      </c>
      <c r="AG27" s="14">
        <f t="shared" si="15"/>
        <v>102.20028416050168</v>
      </c>
      <c r="AH27" s="14">
        <f t="shared" si="16"/>
        <v>63.148701461858181</v>
      </c>
      <c r="AI27" s="11">
        <v>7830.3</v>
      </c>
      <c r="AJ27" s="11">
        <v>10651.1</v>
      </c>
      <c r="AK27" s="14">
        <f t="shared" si="17"/>
        <v>136.02416254805053</v>
      </c>
      <c r="AL27" s="11">
        <v>10229</v>
      </c>
      <c r="AM27" s="14">
        <f t="shared" si="18"/>
        <v>96.037029039254165</v>
      </c>
      <c r="AN27" s="11">
        <v>10742.36</v>
      </c>
      <c r="AO27" s="14">
        <f t="shared" si="19"/>
        <v>105.01867240199434</v>
      </c>
      <c r="AP27" s="11">
        <v>7883.3</v>
      </c>
      <c r="AQ27" s="14">
        <f t="shared" si="20"/>
        <v>73.385177931106384</v>
      </c>
      <c r="AR27" s="11">
        <v>8004.6</v>
      </c>
      <c r="AS27" s="14">
        <f t="shared" si="21"/>
        <v>101.53869572387197</v>
      </c>
      <c r="AT27" s="11">
        <v>0</v>
      </c>
      <c r="AU27" s="14">
        <f t="shared" si="22"/>
        <v>0</v>
      </c>
      <c r="AV27" s="11">
        <v>0</v>
      </c>
      <c r="AW27" s="14" t="e">
        <f t="shared" si="23"/>
        <v>#DIV/0!</v>
      </c>
      <c r="AX27" s="14">
        <f t="shared" si="24"/>
        <v>0</v>
      </c>
      <c r="AY27" s="11">
        <v>11327.3</v>
      </c>
      <c r="AZ27" s="11">
        <v>10905.4</v>
      </c>
      <c r="BA27" s="14">
        <f t="shared" si="25"/>
        <v>96.275370123506931</v>
      </c>
      <c r="BB27" s="11">
        <v>10671.1</v>
      </c>
      <c r="BC27" s="14">
        <f t="shared" si="26"/>
        <v>97.851523098648386</v>
      </c>
      <c r="BD27" s="11">
        <v>11615.3</v>
      </c>
      <c r="BE27" s="14">
        <f t="shared" si="27"/>
        <v>108.84819746792738</v>
      </c>
      <c r="BF27" s="11">
        <v>16548.2</v>
      </c>
      <c r="BG27" s="14">
        <f t="shared" si="28"/>
        <v>142.46898487339976</v>
      </c>
      <c r="BH27" s="11">
        <v>14434.6</v>
      </c>
      <c r="BI27" s="14">
        <f t="shared" si="29"/>
        <v>87.227613879455163</v>
      </c>
      <c r="BJ27" s="11">
        <f>6645.3/38.5/12*1000</f>
        <v>14383.766233766233</v>
      </c>
      <c r="BK27" s="14">
        <f t="shared" si="30"/>
        <v>99.647833911339646</v>
      </c>
      <c r="BL27" s="11">
        <f>1766.6/38.6/3*1000</f>
        <v>15255.613126079446</v>
      </c>
      <c r="BM27" s="14">
        <f t="shared" si="31"/>
        <v>106.06132551199651</v>
      </c>
      <c r="BN27" s="14">
        <f t="shared" si="32"/>
        <v>134.68004843236648</v>
      </c>
      <c r="BO27" s="11">
        <v>13825</v>
      </c>
      <c r="BP27" s="11">
        <v>13465.28</v>
      </c>
      <c r="BQ27" s="14">
        <f t="shared" si="33"/>
        <v>97.398047016274873</v>
      </c>
      <c r="BR27" s="11">
        <v>15330.46</v>
      </c>
      <c r="BS27" s="14">
        <f t="shared" si="34"/>
        <v>113.85177285581879</v>
      </c>
      <c r="BT27" s="11">
        <v>14991.67</v>
      </c>
      <c r="BU27" s="14">
        <f t="shared" si="35"/>
        <v>97.790085881310802</v>
      </c>
      <c r="BV27" s="11">
        <v>17468.060000000001</v>
      </c>
      <c r="BW27" s="14">
        <f t="shared" si="36"/>
        <v>116.51843990696167</v>
      </c>
      <c r="BX27" s="11">
        <v>17910.490000000002</v>
      </c>
      <c r="BY27" s="14">
        <f t="shared" si="37"/>
        <v>102.53279413970414</v>
      </c>
      <c r="BZ27" s="11">
        <v>18009.18</v>
      </c>
      <c r="CA27" s="14">
        <f t="shared" si="38"/>
        <v>100.55101786718285</v>
      </c>
      <c r="CB27" s="11">
        <v>16981.82</v>
      </c>
      <c r="CC27" s="14">
        <f t="shared" si="39"/>
        <v>94.295353813999299</v>
      </c>
      <c r="CD27" s="20">
        <f t="shared" si="1"/>
        <v>122.83414104882459</v>
      </c>
    </row>
    <row r="28" spans="1:82" ht="38.25">
      <c r="A28" s="35">
        <f t="shared" si="40"/>
        <v>24</v>
      </c>
      <c r="B28" s="7" t="s">
        <v>31</v>
      </c>
      <c r="C28" s="11">
        <v>31130.9</v>
      </c>
      <c r="D28" s="11">
        <v>34474.400000000001</v>
      </c>
      <c r="E28" s="14">
        <f t="shared" si="41"/>
        <v>110.74013279410488</v>
      </c>
      <c r="F28" s="11">
        <v>36275.449999999997</v>
      </c>
      <c r="G28" s="18">
        <f t="shared" si="0"/>
        <v>105.22431137307682</v>
      </c>
      <c r="H28" s="11">
        <v>33953.18</v>
      </c>
      <c r="I28" s="14">
        <f t="shared" si="3"/>
        <v>93.59823241338151</v>
      </c>
      <c r="J28" s="11">
        <v>35358.9</v>
      </c>
      <c r="K28" s="14">
        <f t="shared" si="4"/>
        <v>104.14017184841006</v>
      </c>
      <c r="L28" s="11">
        <v>35206.699999999997</v>
      </c>
      <c r="M28" s="11">
        <f t="shared" si="5"/>
        <v>99.569556745260726</v>
      </c>
      <c r="N28" s="11">
        <v>48013.3</v>
      </c>
      <c r="O28" s="11">
        <f t="shared" si="6"/>
        <v>136.37546262501175</v>
      </c>
      <c r="P28" s="11">
        <v>47713.599999999999</v>
      </c>
      <c r="Q28" s="11">
        <f t="shared" si="7"/>
        <v>99.375797955983032</v>
      </c>
      <c r="R28" s="11">
        <f t="shared" si="8"/>
        <v>153.26765368171175</v>
      </c>
      <c r="S28" s="11">
        <v>12754.7</v>
      </c>
      <c r="T28" s="11">
        <v>15021</v>
      </c>
      <c r="U28" s="14">
        <f t="shared" si="9"/>
        <v>117.76835205845688</v>
      </c>
      <c r="V28" s="11">
        <v>16578.64</v>
      </c>
      <c r="W28" s="14">
        <f t="shared" si="10"/>
        <v>110.3697490180414</v>
      </c>
      <c r="X28" s="11">
        <v>16188.34</v>
      </c>
      <c r="Y28" s="14">
        <f t="shared" si="11"/>
        <v>97.645765877056263</v>
      </c>
      <c r="Z28" s="11">
        <v>17089.400000000001</v>
      </c>
      <c r="AA28" s="14">
        <f t="shared" si="12"/>
        <v>105.5661049866756</v>
      </c>
      <c r="AB28" s="11">
        <v>18486.3</v>
      </c>
      <c r="AC28" s="14">
        <f t="shared" si="13"/>
        <v>108.17407281706788</v>
      </c>
      <c r="AD28" s="11">
        <v>23725.5</v>
      </c>
      <c r="AE28" s="14">
        <f t="shared" si="14"/>
        <v>128.34098765031402</v>
      </c>
      <c r="AF28" s="11">
        <v>24415.9</v>
      </c>
      <c r="AG28" s="14">
        <f t="shared" si="15"/>
        <v>102.90994921076479</v>
      </c>
      <c r="AH28" s="14">
        <f t="shared" si="16"/>
        <v>78.429791621829111</v>
      </c>
      <c r="AI28" s="11">
        <v>7225</v>
      </c>
      <c r="AJ28" s="11">
        <v>9232.1</v>
      </c>
      <c r="AK28" s="14">
        <f t="shared" si="17"/>
        <v>127.77993079584775</v>
      </c>
      <c r="AL28" s="11">
        <v>9941.51</v>
      </c>
      <c r="AM28" s="14">
        <f t="shared" si="18"/>
        <v>107.68416719922878</v>
      </c>
      <c r="AN28" s="11">
        <v>9332.7199999999993</v>
      </c>
      <c r="AO28" s="14">
        <f t="shared" si="19"/>
        <v>93.876282375614963</v>
      </c>
      <c r="AP28" s="11">
        <v>10331.299999999999</v>
      </c>
      <c r="AQ28" s="14">
        <f t="shared" si="20"/>
        <v>110.69977455661373</v>
      </c>
      <c r="AR28" s="11">
        <v>12434.8</v>
      </c>
      <c r="AS28" s="14">
        <f t="shared" si="21"/>
        <v>120.36045802561148</v>
      </c>
      <c r="AT28" s="11">
        <v>23658.5</v>
      </c>
      <c r="AU28" s="14">
        <f t="shared" si="22"/>
        <v>190.26039823720527</v>
      </c>
      <c r="AV28" s="11">
        <v>22946.6</v>
      </c>
      <c r="AW28" s="14">
        <f t="shared" si="23"/>
        <v>96.990933491134257</v>
      </c>
      <c r="AX28" s="14">
        <f t="shared" si="24"/>
        <v>317.59999999999997</v>
      </c>
      <c r="AY28" s="11">
        <v>12832.9</v>
      </c>
      <c r="AZ28" s="11">
        <v>13314.3</v>
      </c>
      <c r="BA28" s="14">
        <f t="shared" si="25"/>
        <v>103.75129549828954</v>
      </c>
      <c r="BB28" s="11">
        <v>12494.9</v>
      </c>
      <c r="BC28" s="14">
        <f t="shared" si="26"/>
        <v>93.845714757816793</v>
      </c>
      <c r="BD28" s="11">
        <v>14145.6</v>
      </c>
      <c r="BE28" s="14">
        <f t="shared" si="27"/>
        <v>113.21099008395426</v>
      </c>
      <c r="BF28" s="11">
        <v>13314.7</v>
      </c>
      <c r="BG28" s="14">
        <f t="shared" si="28"/>
        <v>94.126088677751383</v>
      </c>
      <c r="BH28" s="11">
        <v>12180.2</v>
      </c>
      <c r="BI28" s="14">
        <f t="shared" si="29"/>
        <v>91.479342380977414</v>
      </c>
      <c r="BJ28" s="11">
        <f>25340.4/163/12*1000</f>
        <v>12955.214723926381</v>
      </c>
      <c r="BK28" s="14">
        <f t="shared" si="30"/>
        <v>106.36290638845323</v>
      </c>
      <c r="BL28" s="11">
        <f>6960.6/162.6/3*1000</f>
        <v>14269.372693726938</v>
      </c>
      <c r="BM28" s="14">
        <f t="shared" si="31"/>
        <v>110.14385324986932</v>
      </c>
      <c r="BN28" s="14">
        <f t="shared" si="32"/>
        <v>111.1936716854876</v>
      </c>
      <c r="BO28" s="11">
        <v>15226.14</v>
      </c>
      <c r="BP28" s="11">
        <v>16586.52</v>
      </c>
      <c r="BQ28" s="14">
        <f t="shared" si="33"/>
        <v>108.93450342634443</v>
      </c>
      <c r="BR28" s="11">
        <v>18065.599999999999</v>
      </c>
      <c r="BS28" s="14">
        <f t="shared" si="34"/>
        <v>108.91736180946936</v>
      </c>
      <c r="BT28" s="11">
        <v>18368.48</v>
      </c>
      <c r="BU28" s="14">
        <f t="shared" si="35"/>
        <v>101.67655654946417</v>
      </c>
      <c r="BV28" s="11">
        <v>18884.810000000001</v>
      </c>
      <c r="BW28" s="14">
        <f t="shared" si="36"/>
        <v>102.81095659521094</v>
      </c>
      <c r="BX28" s="11">
        <v>19298.150000000001</v>
      </c>
      <c r="BY28" s="14">
        <f t="shared" si="37"/>
        <v>102.18874322802294</v>
      </c>
      <c r="BZ28" s="11">
        <v>21794.76</v>
      </c>
      <c r="CA28" s="14">
        <f t="shared" si="38"/>
        <v>112.9370431880776</v>
      </c>
      <c r="CB28" s="11">
        <v>21533.33</v>
      </c>
      <c r="CC28" s="14">
        <f t="shared" si="39"/>
        <v>98.800491494285808</v>
      </c>
      <c r="CD28" s="20">
        <f t="shared" si="1"/>
        <v>141.4234336476612</v>
      </c>
    </row>
    <row r="29" spans="1:82" ht="25.5">
      <c r="A29" s="35">
        <f t="shared" si="40"/>
        <v>25</v>
      </c>
      <c r="B29" s="7" t="s">
        <v>32</v>
      </c>
      <c r="C29" s="11">
        <v>32873.599999999999</v>
      </c>
      <c r="D29" s="11">
        <v>39166.800000000003</v>
      </c>
      <c r="E29" s="14">
        <f t="shared" si="41"/>
        <v>119.14362893020541</v>
      </c>
      <c r="F29" s="11">
        <v>39175.19</v>
      </c>
      <c r="G29" s="18">
        <f t="shared" si="0"/>
        <v>100.0214212036725</v>
      </c>
      <c r="H29" s="11">
        <v>39611.69</v>
      </c>
      <c r="I29" s="14">
        <f t="shared" si="3"/>
        <v>101.11422561064796</v>
      </c>
      <c r="J29" s="11">
        <v>41430</v>
      </c>
      <c r="K29" s="14">
        <f t="shared" si="4"/>
        <v>104.5903368424826</v>
      </c>
      <c r="L29" s="11">
        <v>39979</v>
      </c>
      <c r="M29" s="11">
        <f t="shared" si="5"/>
        <v>96.49770697562154</v>
      </c>
      <c r="N29" s="11">
        <v>47883</v>
      </c>
      <c r="O29" s="11">
        <f t="shared" si="6"/>
        <v>119.77037944921082</v>
      </c>
      <c r="P29" s="11">
        <v>49485.1</v>
      </c>
      <c r="Q29" s="11">
        <f t="shared" si="7"/>
        <v>103.34586387653238</v>
      </c>
      <c r="R29" s="11">
        <f t="shared" si="8"/>
        <v>150.53142947532368</v>
      </c>
      <c r="S29" s="11">
        <v>13026.3</v>
      </c>
      <c r="T29" s="11">
        <v>15457.4</v>
      </c>
      <c r="U29" s="14">
        <f t="shared" si="9"/>
        <v>118.66301252082326</v>
      </c>
      <c r="V29" s="11">
        <v>17739.29</v>
      </c>
      <c r="W29" s="14">
        <f t="shared" si="10"/>
        <v>114.76244387801313</v>
      </c>
      <c r="X29" s="11">
        <v>17207.43</v>
      </c>
      <c r="Y29" s="14">
        <f t="shared" si="11"/>
        <v>97.001796576976858</v>
      </c>
      <c r="Z29" s="11">
        <v>17452.900000000001</v>
      </c>
      <c r="AA29" s="14">
        <f t="shared" si="12"/>
        <v>101.42653493287493</v>
      </c>
      <c r="AB29" s="11">
        <v>18743.2</v>
      </c>
      <c r="AC29" s="14">
        <f t="shared" si="13"/>
        <v>107.39304069810747</v>
      </c>
      <c r="AD29" s="11">
        <v>24479.7</v>
      </c>
      <c r="AE29" s="14">
        <f t="shared" si="14"/>
        <v>130.60576635793248</v>
      </c>
      <c r="AF29" s="11">
        <v>25542.799999999999</v>
      </c>
      <c r="AG29" s="14">
        <f t="shared" si="15"/>
        <v>104.3427819785373</v>
      </c>
      <c r="AH29" s="14">
        <f t="shared" si="16"/>
        <v>77.700038937019372</v>
      </c>
      <c r="AI29" s="11">
        <v>7927.4</v>
      </c>
      <c r="AJ29" s="11">
        <v>8925.2000000000007</v>
      </c>
      <c r="AK29" s="14">
        <f t="shared" si="17"/>
        <v>112.58672452506498</v>
      </c>
      <c r="AL29" s="11">
        <v>11382.64</v>
      </c>
      <c r="AM29" s="14">
        <f t="shared" si="18"/>
        <v>127.53372473445972</v>
      </c>
      <c r="AN29" s="11">
        <v>10039.43</v>
      </c>
      <c r="AO29" s="14">
        <f t="shared" si="19"/>
        <v>88.199486235179194</v>
      </c>
      <c r="AP29" s="11">
        <v>10829.5</v>
      </c>
      <c r="AQ29" s="14">
        <f t="shared" si="20"/>
        <v>107.86966989161735</v>
      </c>
      <c r="AR29" s="11">
        <v>13206.3</v>
      </c>
      <c r="AS29" s="14">
        <f t="shared" si="21"/>
        <v>121.94745833140956</v>
      </c>
      <c r="AT29" s="11">
        <v>24400.1</v>
      </c>
      <c r="AU29" s="14">
        <f t="shared" si="22"/>
        <v>184.76106100876098</v>
      </c>
      <c r="AV29" s="11">
        <v>26197.5</v>
      </c>
      <c r="AW29" s="14">
        <f t="shared" si="23"/>
        <v>107.36636325260962</v>
      </c>
      <c r="AX29" s="14">
        <f t="shared" si="24"/>
        <v>330.46774478391404</v>
      </c>
      <c r="AY29" s="11">
        <v>12391.3</v>
      </c>
      <c r="AZ29" s="11">
        <v>14798</v>
      </c>
      <c r="BA29" s="14">
        <f t="shared" si="25"/>
        <v>119.42249804298177</v>
      </c>
      <c r="BB29" s="11">
        <v>12476.2</v>
      </c>
      <c r="BC29" s="14">
        <f t="shared" si="26"/>
        <v>84.310041897553731</v>
      </c>
      <c r="BD29" s="11">
        <v>12723.77</v>
      </c>
      <c r="BE29" s="14">
        <f t="shared" si="27"/>
        <v>101.98433817989452</v>
      </c>
      <c r="BF29" s="11">
        <v>12933.4</v>
      </c>
      <c r="BG29" s="14">
        <f t="shared" si="28"/>
        <v>101.64754628541696</v>
      </c>
      <c r="BH29" s="11">
        <v>13772.8</v>
      </c>
      <c r="BI29" s="14">
        <f t="shared" si="29"/>
        <v>106.4901727310684</v>
      </c>
      <c r="BJ29" s="11">
        <f>12555.4/73.8/12*1000</f>
        <v>14177.280939476061</v>
      </c>
      <c r="BK29" s="14">
        <f t="shared" si="30"/>
        <v>102.93680979522001</v>
      </c>
      <c r="BL29" s="11">
        <f>3936.7/91.9/3*1000</f>
        <v>14278.926369241928</v>
      </c>
      <c r="BM29" s="14">
        <f t="shared" si="31"/>
        <v>100.71695997419955</v>
      </c>
      <c r="BN29" s="14">
        <f t="shared" si="32"/>
        <v>115.23348130738444</v>
      </c>
      <c r="BO29" s="11">
        <v>19770.54</v>
      </c>
      <c r="BP29" s="11">
        <v>19940.71</v>
      </c>
      <c r="BQ29" s="14">
        <f t="shared" si="33"/>
        <v>100.86072509906153</v>
      </c>
      <c r="BR29" s="11">
        <v>18523.52</v>
      </c>
      <c r="BS29" s="14">
        <f t="shared" si="34"/>
        <v>92.892981242894564</v>
      </c>
      <c r="BT29" s="11">
        <v>15737.99</v>
      </c>
      <c r="BU29" s="14">
        <f t="shared" si="35"/>
        <v>84.962199409183569</v>
      </c>
      <c r="BV29" s="11">
        <v>13154.31</v>
      </c>
      <c r="BW29" s="14">
        <f t="shared" si="36"/>
        <v>83.583164050809529</v>
      </c>
      <c r="BX29" s="11">
        <v>19233.189999999999</v>
      </c>
      <c r="BY29" s="14">
        <f t="shared" si="37"/>
        <v>146.21207801853538</v>
      </c>
      <c r="BZ29" s="11">
        <v>21168.81</v>
      </c>
      <c r="CA29" s="14">
        <f t="shared" si="38"/>
        <v>110.06395714907408</v>
      </c>
      <c r="CB29" s="11">
        <v>20121.189999999999</v>
      </c>
      <c r="CC29" s="14">
        <f t="shared" si="39"/>
        <v>95.051115296514055</v>
      </c>
      <c r="CD29" s="20">
        <f t="shared" si="1"/>
        <v>101.7735984955393</v>
      </c>
    </row>
    <row r="30" spans="1:82" ht="25.5">
      <c r="A30" s="36">
        <f t="shared" si="40"/>
        <v>26</v>
      </c>
      <c r="B30" s="8" t="s">
        <v>33</v>
      </c>
      <c r="C30" s="11">
        <v>25506.799999999999</v>
      </c>
      <c r="D30" s="11">
        <v>38326.400000000001</v>
      </c>
      <c r="E30" s="14">
        <f t="shared" si="41"/>
        <v>150.25953863283516</v>
      </c>
      <c r="F30" s="11">
        <v>33526.85</v>
      </c>
      <c r="G30" s="18">
        <f t="shared" si="0"/>
        <v>87.477169783752188</v>
      </c>
      <c r="H30" s="11">
        <v>34573.96</v>
      </c>
      <c r="I30" s="14">
        <f t="shared" si="3"/>
        <v>103.12319827242942</v>
      </c>
      <c r="J30" s="11">
        <v>38282.1</v>
      </c>
      <c r="K30" s="14">
        <f t="shared" si="4"/>
        <v>110.72523945767276</v>
      </c>
      <c r="L30" s="11">
        <v>44486.3</v>
      </c>
      <c r="M30" s="11">
        <f t="shared" si="5"/>
        <v>116.20652994480449</v>
      </c>
      <c r="N30" s="11">
        <v>48963.9</v>
      </c>
      <c r="O30" s="11">
        <f t="shared" si="6"/>
        <v>110.06512117213614</v>
      </c>
      <c r="P30" s="11">
        <v>50779.199999999997</v>
      </c>
      <c r="Q30" s="11">
        <f t="shared" si="7"/>
        <v>103.70742526636971</v>
      </c>
      <c r="R30" s="11">
        <f t="shared" si="8"/>
        <v>199.08102937255947</v>
      </c>
      <c r="S30" s="11">
        <v>11606</v>
      </c>
      <c r="T30" s="11">
        <v>13817.4</v>
      </c>
      <c r="U30" s="14">
        <f t="shared" si="9"/>
        <v>119.0539376184732</v>
      </c>
      <c r="V30" s="11">
        <v>14643.35</v>
      </c>
      <c r="W30" s="14">
        <f t="shared" si="10"/>
        <v>105.97760794360734</v>
      </c>
      <c r="X30" s="11">
        <v>15238.82</v>
      </c>
      <c r="Y30" s="14">
        <f t="shared" si="11"/>
        <v>104.06648751822499</v>
      </c>
      <c r="Z30" s="11">
        <v>17252.099999999999</v>
      </c>
      <c r="AA30" s="14">
        <f t="shared" si="12"/>
        <v>113.21152162700261</v>
      </c>
      <c r="AB30" s="11">
        <v>18139.400000000001</v>
      </c>
      <c r="AC30" s="14">
        <f t="shared" si="13"/>
        <v>105.14314199430797</v>
      </c>
      <c r="AD30" s="11">
        <v>22122.9</v>
      </c>
      <c r="AE30" s="14">
        <f t="shared" si="14"/>
        <v>121.96048380872575</v>
      </c>
      <c r="AF30" s="11">
        <v>24903.200000000001</v>
      </c>
      <c r="AG30" s="14">
        <f t="shared" si="15"/>
        <v>112.56752053302235</v>
      </c>
      <c r="AH30" s="14">
        <f t="shared" si="16"/>
        <v>97.633572223877565</v>
      </c>
      <c r="AI30" s="11">
        <v>7249.7</v>
      </c>
      <c r="AJ30" s="11">
        <v>8988.7999999999993</v>
      </c>
      <c r="AK30" s="14">
        <f t="shared" si="17"/>
        <v>123.98857883774501</v>
      </c>
      <c r="AL30" s="11">
        <v>9535.86</v>
      </c>
      <c r="AM30" s="14">
        <f t="shared" si="18"/>
        <v>106.08601815592739</v>
      </c>
      <c r="AN30" s="11">
        <v>7399.17</v>
      </c>
      <c r="AO30" s="14">
        <f t="shared" si="19"/>
        <v>77.593106442418403</v>
      </c>
      <c r="AP30" s="11">
        <v>85917</v>
      </c>
      <c r="AQ30" s="14">
        <f t="shared" si="20"/>
        <v>1161.1707799658611</v>
      </c>
      <c r="AR30" s="11">
        <v>9042.5</v>
      </c>
      <c r="AS30" s="14">
        <f t="shared" si="21"/>
        <v>10.524692435722848</v>
      </c>
      <c r="AT30" s="11">
        <v>0</v>
      </c>
      <c r="AU30" s="14">
        <f t="shared" si="22"/>
        <v>0</v>
      </c>
      <c r="AV30" s="11">
        <v>0</v>
      </c>
      <c r="AW30" s="14" t="e">
        <f t="shared" si="23"/>
        <v>#DIV/0!</v>
      </c>
      <c r="AX30" s="14">
        <f t="shared" si="24"/>
        <v>0</v>
      </c>
      <c r="AY30" s="11">
        <v>13521.5</v>
      </c>
      <c r="AZ30" s="11">
        <v>14790.8</v>
      </c>
      <c r="BA30" s="14">
        <f t="shared" si="25"/>
        <v>109.38727212217579</v>
      </c>
      <c r="BB30" s="11">
        <v>15167.92</v>
      </c>
      <c r="BC30" s="14">
        <f t="shared" si="26"/>
        <v>102.54969305243802</v>
      </c>
      <c r="BD30" s="11">
        <v>14279.76</v>
      </c>
      <c r="BE30" s="14">
        <f t="shared" si="27"/>
        <v>94.144483884408672</v>
      </c>
      <c r="BF30" s="11">
        <v>15476.8</v>
      </c>
      <c r="BG30" s="14">
        <f t="shared" si="28"/>
        <v>108.38277394017825</v>
      </c>
      <c r="BH30" s="11">
        <v>14005</v>
      </c>
      <c r="BI30" s="14">
        <f t="shared" si="29"/>
        <v>90.490282228884539</v>
      </c>
      <c r="BJ30" s="11">
        <f>11101.7/57.7/12*1000</f>
        <v>16033.651068746391</v>
      </c>
      <c r="BK30" s="14">
        <f t="shared" si="30"/>
        <v>114.48519149408347</v>
      </c>
      <c r="BL30" s="11">
        <f>3020.4/58.3/3*1000</f>
        <v>17269.296740994858</v>
      </c>
      <c r="BM30" s="14">
        <f t="shared" si="31"/>
        <v>107.70657704193806</v>
      </c>
      <c r="BN30" s="14">
        <f t="shared" si="32"/>
        <v>127.71731495022635</v>
      </c>
      <c r="BO30" s="11">
        <v>17312.96</v>
      </c>
      <c r="BP30" s="11">
        <v>18864.89</v>
      </c>
      <c r="BQ30" s="14">
        <f t="shared" si="33"/>
        <v>108.9639784300316</v>
      </c>
      <c r="BR30" s="11">
        <v>18733.330000000002</v>
      </c>
      <c r="BS30" s="14">
        <f t="shared" si="34"/>
        <v>99.302619840348939</v>
      </c>
      <c r="BT30" s="11">
        <v>20091.3</v>
      </c>
      <c r="BU30" s="14">
        <f t="shared" si="35"/>
        <v>107.24895146778495</v>
      </c>
      <c r="BV30" s="11">
        <v>20787.330000000002</v>
      </c>
      <c r="BW30" s="14">
        <f t="shared" si="36"/>
        <v>103.464335309313</v>
      </c>
      <c r="BX30" s="11">
        <v>19433.86</v>
      </c>
      <c r="BY30" s="14">
        <f t="shared" si="37"/>
        <v>93.488966596479671</v>
      </c>
      <c r="BZ30" s="11">
        <v>22179.17</v>
      </c>
      <c r="CA30" s="14">
        <f t="shared" si="38"/>
        <v>114.12642676236217</v>
      </c>
      <c r="CB30" s="11">
        <v>22179.17</v>
      </c>
      <c r="CC30" s="14">
        <f t="shared" si="39"/>
        <v>100</v>
      </c>
      <c r="CD30" s="20">
        <f t="shared" si="1"/>
        <v>128.10732537936897</v>
      </c>
    </row>
    <row r="31" spans="1:82" ht="25.5">
      <c r="A31" s="35">
        <f t="shared" si="40"/>
        <v>27</v>
      </c>
      <c r="B31" s="7" t="s">
        <v>34</v>
      </c>
      <c r="C31" s="11">
        <v>38476.5</v>
      </c>
      <c r="D31" s="11">
        <v>46873.9</v>
      </c>
      <c r="E31" s="14">
        <f t="shared" si="41"/>
        <v>121.82475017218302</v>
      </c>
      <c r="F31" s="11">
        <v>49766.33</v>
      </c>
      <c r="G31" s="18">
        <f t="shared" si="0"/>
        <v>106.17066213820485</v>
      </c>
      <c r="H31" s="11">
        <v>46745.760000000002</v>
      </c>
      <c r="I31" s="14">
        <f t="shared" si="3"/>
        <v>93.930494774278117</v>
      </c>
      <c r="J31" s="11">
        <v>39233.1</v>
      </c>
      <c r="K31" s="14">
        <f t="shared" si="4"/>
        <v>83.928681446188918</v>
      </c>
      <c r="L31" s="11">
        <v>39089.4</v>
      </c>
      <c r="M31" s="11">
        <f t="shared" si="5"/>
        <v>99.633727643240022</v>
      </c>
      <c r="N31" s="11">
        <v>48537.1</v>
      </c>
      <c r="O31" s="11">
        <f t="shared" si="6"/>
        <v>124.16946793759945</v>
      </c>
      <c r="P31" s="11">
        <v>51639.6</v>
      </c>
      <c r="Q31" s="11">
        <f t="shared" si="7"/>
        <v>106.39201765247614</v>
      </c>
      <c r="R31" s="11">
        <f t="shared" si="8"/>
        <v>134.21075201746518</v>
      </c>
      <c r="S31" s="11">
        <v>14617</v>
      </c>
      <c r="T31" s="11">
        <v>15205.9</v>
      </c>
      <c r="U31" s="14">
        <f t="shared" si="9"/>
        <v>104.02887049326127</v>
      </c>
      <c r="V31" s="11">
        <v>17806.310000000001</v>
      </c>
      <c r="W31" s="14">
        <f t="shared" si="10"/>
        <v>117.10132251297193</v>
      </c>
      <c r="X31" s="11">
        <v>18752.64</v>
      </c>
      <c r="Y31" s="14">
        <f t="shared" si="11"/>
        <v>105.31457668657906</v>
      </c>
      <c r="Z31" s="11">
        <v>17529.5</v>
      </c>
      <c r="AA31" s="14">
        <f t="shared" si="12"/>
        <v>93.477505033957883</v>
      </c>
      <c r="AB31" s="11">
        <v>19348.8</v>
      </c>
      <c r="AC31" s="14">
        <f t="shared" si="13"/>
        <v>110.37850480618386</v>
      </c>
      <c r="AD31" s="11">
        <v>23623.7</v>
      </c>
      <c r="AE31" s="14">
        <f t="shared" si="14"/>
        <v>122.09387662283966</v>
      </c>
      <c r="AF31" s="11">
        <v>26724.3</v>
      </c>
      <c r="AG31" s="14">
        <f t="shared" si="15"/>
        <v>113.12495502398015</v>
      </c>
      <c r="AH31" s="14">
        <f t="shared" si="16"/>
        <v>69.456161553155809</v>
      </c>
      <c r="AI31" s="11">
        <v>8296.2999999999993</v>
      </c>
      <c r="AJ31" s="11">
        <v>9194.2999999999993</v>
      </c>
      <c r="AK31" s="14">
        <f t="shared" si="17"/>
        <v>110.82410231066862</v>
      </c>
      <c r="AL31" s="11">
        <v>11459.96</v>
      </c>
      <c r="AM31" s="14">
        <f t="shared" si="18"/>
        <v>124.64200646052446</v>
      </c>
      <c r="AN31" s="11">
        <v>12134.52</v>
      </c>
      <c r="AO31" s="14">
        <f t="shared" si="19"/>
        <v>105.88623345980265</v>
      </c>
      <c r="AP31" s="11">
        <v>10286.799999999999</v>
      </c>
      <c r="AQ31" s="14">
        <f t="shared" si="20"/>
        <v>84.773027692895965</v>
      </c>
      <c r="AR31" s="11">
        <v>11609.6</v>
      </c>
      <c r="AS31" s="14">
        <f t="shared" si="21"/>
        <v>112.85919819574602</v>
      </c>
      <c r="AT31" s="11">
        <v>23617.1</v>
      </c>
      <c r="AU31" s="14">
        <f t="shared" si="22"/>
        <v>203.4273359977949</v>
      </c>
      <c r="AV31" s="11">
        <v>25893.3</v>
      </c>
      <c r="AW31" s="14">
        <f t="shared" si="23"/>
        <v>109.6379318375245</v>
      </c>
      <c r="AX31" s="14">
        <f t="shared" si="24"/>
        <v>312.10660173812425</v>
      </c>
      <c r="AY31" s="11">
        <v>14771.7</v>
      </c>
      <c r="AZ31" s="11">
        <v>17037.8</v>
      </c>
      <c r="BA31" s="14">
        <f t="shared" si="25"/>
        <v>115.3408206232187</v>
      </c>
      <c r="BB31" s="11">
        <v>16212.6</v>
      </c>
      <c r="BC31" s="14">
        <f t="shared" si="26"/>
        <v>95.156651680381273</v>
      </c>
      <c r="BD31" s="11">
        <v>15329.02</v>
      </c>
      <c r="BE31" s="14">
        <f t="shared" si="27"/>
        <v>94.550041325882333</v>
      </c>
      <c r="BF31" s="11">
        <v>14922.5</v>
      </c>
      <c r="BG31" s="14">
        <f t="shared" si="28"/>
        <v>97.348036599860905</v>
      </c>
      <c r="BH31" s="11">
        <v>13072.9</v>
      </c>
      <c r="BI31" s="14">
        <f t="shared" si="29"/>
        <v>87.605294019098679</v>
      </c>
      <c r="BJ31" s="11">
        <f>25044.5/145.7/12*1000</f>
        <v>14324.23930450698</v>
      </c>
      <c r="BK31" s="14">
        <f t="shared" si="30"/>
        <v>109.57201007050448</v>
      </c>
      <c r="BL31" s="11">
        <f>10462.2/215.5/3*1000</f>
        <v>16182.830626450115</v>
      </c>
      <c r="BM31" s="14">
        <f t="shared" si="31"/>
        <v>112.97514850480295</v>
      </c>
      <c r="BN31" s="14">
        <f t="shared" si="32"/>
        <v>109.55293315224459</v>
      </c>
      <c r="BO31" s="11">
        <v>16650.52</v>
      </c>
      <c r="BP31" s="11">
        <v>20408.349999999999</v>
      </c>
      <c r="BQ31" s="14">
        <f t="shared" si="33"/>
        <v>122.56884469674219</v>
      </c>
      <c r="BR31" s="11">
        <v>21736.15</v>
      </c>
      <c r="BS31" s="14">
        <f t="shared" si="34"/>
        <v>106.50616046863173</v>
      </c>
      <c r="BT31" s="11">
        <v>22733.71</v>
      </c>
      <c r="BU31" s="14">
        <f t="shared" si="35"/>
        <v>104.58940520745392</v>
      </c>
      <c r="BV31" s="11">
        <v>19943.93</v>
      </c>
      <c r="BW31" s="14">
        <f t="shared" si="36"/>
        <v>87.728443795579352</v>
      </c>
      <c r="BX31" s="11">
        <v>18644.22</v>
      </c>
      <c r="BY31" s="14">
        <f t="shared" si="37"/>
        <v>93.483180095397458</v>
      </c>
      <c r="BZ31" s="11">
        <v>22491.52</v>
      </c>
      <c r="CA31" s="14">
        <f t="shared" si="38"/>
        <v>120.63534972232681</v>
      </c>
      <c r="CB31" s="11">
        <v>23792.9</v>
      </c>
      <c r="CC31" s="14">
        <f t="shared" si="39"/>
        <v>105.78609182482998</v>
      </c>
      <c r="CD31" s="20">
        <f t="shared" si="1"/>
        <v>142.89583748735774</v>
      </c>
    </row>
    <row r="32" spans="1:82" ht="25.5">
      <c r="A32" s="35">
        <f t="shared" si="40"/>
        <v>28</v>
      </c>
      <c r="B32" s="7" t="s">
        <v>35</v>
      </c>
      <c r="C32" s="11">
        <v>24326.9</v>
      </c>
      <c r="D32" s="11">
        <v>27477.1</v>
      </c>
      <c r="E32" s="14">
        <f t="shared" si="41"/>
        <v>112.94945101924205</v>
      </c>
      <c r="F32" s="11">
        <v>27515.37</v>
      </c>
      <c r="G32" s="18">
        <f t="shared" si="0"/>
        <v>100.13927961830034</v>
      </c>
      <c r="H32" s="11">
        <v>26843.33</v>
      </c>
      <c r="I32" s="14">
        <f t="shared" si="3"/>
        <v>97.557583270731968</v>
      </c>
      <c r="J32" s="11">
        <v>27911.4</v>
      </c>
      <c r="K32" s="14">
        <f t="shared" si="4"/>
        <v>103.97890276653455</v>
      </c>
      <c r="L32" s="11">
        <v>27984</v>
      </c>
      <c r="M32" s="11">
        <f t="shared" si="5"/>
        <v>100.26010877275951</v>
      </c>
      <c r="N32" s="11">
        <v>36094.300000000003</v>
      </c>
      <c r="O32" s="11">
        <f t="shared" si="6"/>
        <v>128.98191823899373</v>
      </c>
      <c r="P32" s="11">
        <v>37841.699999999997</v>
      </c>
      <c r="Q32" s="11">
        <f t="shared" si="7"/>
        <v>104.84120761449867</v>
      </c>
      <c r="R32" s="11">
        <f t="shared" si="8"/>
        <v>155.55496179126808</v>
      </c>
      <c r="S32" s="11">
        <v>10295.700000000001</v>
      </c>
      <c r="T32" s="11">
        <v>11895.4</v>
      </c>
      <c r="U32" s="14">
        <f t="shared" si="9"/>
        <v>115.53755451304912</v>
      </c>
      <c r="V32" s="11">
        <v>13208.21</v>
      </c>
      <c r="W32" s="14">
        <f t="shared" si="10"/>
        <v>111.03628293289842</v>
      </c>
      <c r="X32" s="11">
        <v>14340.16</v>
      </c>
      <c r="Y32" s="14">
        <f t="shared" si="11"/>
        <v>108.57004847742428</v>
      </c>
      <c r="Z32" s="11">
        <v>14492.2</v>
      </c>
      <c r="AA32" s="14">
        <f t="shared" si="12"/>
        <v>101.06023921629885</v>
      </c>
      <c r="AB32" s="11">
        <v>14706.3</v>
      </c>
      <c r="AC32" s="14">
        <f t="shared" si="13"/>
        <v>101.4773464346338</v>
      </c>
      <c r="AD32" s="11">
        <v>17819.2</v>
      </c>
      <c r="AE32" s="14">
        <f t="shared" si="14"/>
        <v>121.16711885382456</v>
      </c>
      <c r="AF32" s="11">
        <v>19086.2</v>
      </c>
      <c r="AG32" s="14">
        <f t="shared" si="15"/>
        <v>107.110307982401</v>
      </c>
      <c r="AH32" s="14">
        <f t="shared" si="16"/>
        <v>78.457181145152077</v>
      </c>
      <c r="AI32" s="11">
        <v>7063.3</v>
      </c>
      <c r="AJ32" s="11">
        <v>9086.6</v>
      </c>
      <c r="AK32" s="14">
        <f t="shared" si="17"/>
        <v>128.64525080344882</v>
      </c>
      <c r="AL32" s="11">
        <v>9503.6200000000008</v>
      </c>
      <c r="AM32" s="14">
        <f t="shared" si="18"/>
        <v>104.58939537340699</v>
      </c>
      <c r="AN32" s="11">
        <v>10326.68</v>
      </c>
      <c r="AO32" s="14">
        <f t="shared" si="19"/>
        <v>108.66048937141845</v>
      </c>
      <c r="AP32" s="11">
        <v>7393.1</v>
      </c>
      <c r="AQ32" s="14">
        <f t="shared" si="20"/>
        <v>71.592225187572396</v>
      </c>
      <c r="AR32" s="11">
        <v>8474.7999999999993</v>
      </c>
      <c r="AS32" s="14">
        <f t="shared" si="21"/>
        <v>114.63121018246743</v>
      </c>
      <c r="AT32" s="11">
        <v>0</v>
      </c>
      <c r="AU32" s="14">
        <f t="shared" si="22"/>
        <v>0</v>
      </c>
      <c r="AV32" s="11">
        <v>0</v>
      </c>
      <c r="AW32" s="14" t="e">
        <f t="shared" si="23"/>
        <v>#DIV/0!</v>
      </c>
      <c r="AX32" s="14">
        <f t="shared" si="24"/>
        <v>0</v>
      </c>
      <c r="AY32" s="11">
        <v>12314.1</v>
      </c>
      <c r="AZ32" s="11">
        <v>12605.4</v>
      </c>
      <c r="BA32" s="14">
        <f t="shared" si="25"/>
        <v>102.36558091943382</v>
      </c>
      <c r="BB32" s="11">
        <v>11958.89</v>
      </c>
      <c r="BC32" s="14">
        <f t="shared" si="26"/>
        <v>94.871166325543015</v>
      </c>
      <c r="BD32" s="11">
        <v>11618.33</v>
      </c>
      <c r="BE32" s="14">
        <f t="shared" si="27"/>
        <v>97.152244062785101</v>
      </c>
      <c r="BF32" s="11">
        <v>12337.6</v>
      </c>
      <c r="BG32" s="14">
        <f t="shared" si="28"/>
        <v>106.19082088389639</v>
      </c>
      <c r="BH32" s="11">
        <v>11803.6</v>
      </c>
      <c r="BI32" s="14">
        <f t="shared" si="29"/>
        <v>95.671767604720529</v>
      </c>
      <c r="BJ32" s="11">
        <f>6250.7/37.5/12*1000</f>
        <v>13890.444444444443</v>
      </c>
      <c r="BK32" s="14">
        <f t="shared" si="30"/>
        <v>117.67972859504256</v>
      </c>
      <c r="BL32" s="11">
        <f>1652.5/39.5/3*1000</f>
        <v>13945.147679324895</v>
      </c>
      <c r="BM32" s="14">
        <f t="shared" si="31"/>
        <v>100.39381918339072</v>
      </c>
      <c r="BN32" s="14">
        <f t="shared" si="32"/>
        <v>113.24536652556741</v>
      </c>
      <c r="BO32" s="11">
        <v>13083.33</v>
      </c>
      <c r="BP32" s="11">
        <v>14072.92</v>
      </c>
      <c r="BQ32" s="14">
        <f t="shared" si="33"/>
        <v>107.56374714999927</v>
      </c>
      <c r="BR32" s="11">
        <v>14100.38</v>
      </c>
      <c r="BS32" s="14">
        <f t="shared" si="34"/>
        <v>100.19512652669098</v>
      </c>
      <c r="BT32" s="11">
        <v>15287.04</v>
      </c>
      <c r="BU32" s="14">
        <f t="shared" si="35"/>
        <v>108.41580155995798</v>
      </c>
      <c r="BV32" s="11">
        <v>14537.04</v>
      </c>
      <c r="BW32" s="14">
        <f t="shared" si="36"/>
        <v>95.09388344637027</v>
      </c>
      <c r="BX32" s="11">
        <v>15299.63</v>
      </c>
      <c r="BY32" s="14">
        <f t="shared" si="37"/>
        <v>105.24584096900055</v>
      </c>
      <c r="BZ32" s="11">
        <v>15935.19</v>
      </c>
      <c r="CA32" s="14">
        <f t="shared" si="38"/>
        <v>104.15408738642699</v>
      </c>
      <c r="CB32" s="11">
        <v>16750</v>
      </c>
      <c r="CC32" s="14">
        <f t="shared" si="39"/>
        <v>105.11327445734879</v>
      </c>
      <c r="CD32" s="20">
        <f t="shared" si="1"/>
        <v>128.02551032497078</v>
      </c>
    </row>
    <row r="33" spans="1:82" ht="25.5">
      <c r="A33" s="35">
        <f t="shared" si="40"/>
        <v>29</v>
      </c>
      <c r="B33" s="7" t="s">
        <v>36</v>
      </c>
      <c r="C33" s="11">
        <v>28785</v>
      </c>
      <c r="D33" s="11">
        <v>36532.800000000003</v>
      </c>
      <c r="E33" s="14">
        <f t="shared" si="41"/>
        <v>126.91610213652946</v>
      </c>
      <c r="F33" s="11">
        <v>24006.25</v>
      </c>
      <c r="G33" s="18">
        <f t="shared" si="0"/>
        <v>65.71149761310383</v>
      </c>
      <c r="H33" s="11">
        <v>30455.43</v>
      </c>
      <c r="I33" s="14">
        <f t="shared" si="3"/>
        <v>126.86458734704505</v>
      </c>
      <c r="J33" s="11">
        <v>28828.3</v>
      </c>
      <c r="K33" s="14">
        <f t="shared" si="4"/>
        <v>94.657340250983154</v>
      </c>
      <c r="L33" s="11">
        <v>22890.3</v>
      </c>
      <c r="M33" s="11">
        <f t="shared" si="5"/>
        <v>79.402184658824837</v>
      </c>
      <c r="N33" s="11">
        <v>36752.400000000001</v>
      </c>
      <c r="O33" s="11">
        <f t="shared" si="6"/>
        <v>160.55883933369157</v>
      </c>
      <c r="P33" s="11">
        <v>46059.7</v>
      </c>
      <c r="Q33" s="11">
        <f t="shared" si="7"/>
        <v>125.32433256059467</v>
      </c>
      <c r="R33" s="11">
        <f t="shared" si="8"/>
        <v>160.01285391697064</v>
      </c>
      <c r="S33" s="11">
        <v>9321.1</v>
      </c>
      <c r="T33" s="11">
        <v>11510.6</v>
      </c>
      <c r="U33" s="14">
        <f t="shared" si="9"/>
        <v>123.48971687890915</v>
      </c>
      <c r="V33" s="11">
        <v>10666.85</v>
      </c>
      <c r="W33" s="14">
        <f t="shared" si="10"/>
        <v>92.669800010425178</v>
      </c>
      <c r="X33" s="11">
        <v>13174.79</v>
      </c>
      <c r="Y33" s="14">
        <f t="shared" si="11"/>
        <v>123.51153339551976</v>
      </c>
      <c r="Z33" s="11">
        <v>16076.5</v>
      </c>
      <c r="AA33" s="14">
        <f t="shared" si="12"/>
        <v>122.02471538445774</v>
      </c>
      <c r="AB33" s="11">
        <v>16940.900000000001</v>
      </c>
      <c r="AC33" s="14">
        <f t="shared" si="13"/>
        <v>105.37679221223526</v>
      </c>
      <c r="AD33" s="11">
        <v>20803</v>
      </c>
      <c r="AE33" s="14">
        <f t="shared" si="14"/>
        <v>122.79749009792866</v>
      </c>
      <c r="AF33" s="11">
        <v>25034</v>
      </c>
      <c r="AG33" s="14">
        <f t="shared" si="15"/>
        <v>120.33841272893333</v>
      </c>
      <c r="AH33" s="14">
        <f t="shared" si="16"/>
        <v>86.968907417057494</v>
      </c>
      <c r="AI33" s="11">
        <v>4919.7</v>
      </c>
      <c r="AJ33" s="11">
        <v>8140.2</v>
      </c>
      <c r="AK33" s="14">
        <f t="shared" si="17"/>
        <v>165.46130861637906</v>
      </c>
      <c r="AL33" s="11">
        <v>12379.17</v>
      </c>
      <c r="AM33" s="14">
        <f t="shared" si="18"/>
        <v>152.0745190535859</v>
      </c>
      <c r="AN33" s="11">
        <v>16552.330000000002</v>
      </c>
      <c r="AO33" s="14">
        <f t="shared" si="19"/>
        <v>133.7111454160497</v>
      </c>
      <c r="AP33" s="11">
        <v>9950</v>
      </c>
      <c r="AQ33" s="14">
        <f t="shared" si="20"/>
        <v>60.112382969648372</v>
      </c>
      <c r="AR33" s="11">
        <v>10444.4</v>
      </c>
      <c r="AS33" s="14">
        <f t="shared" si="21"/>
        <v>104.96884422110553</v>
      </c>
      <c r="AT33" s="11">
        <v>0</v>
      </c>
      <c r="AU33" s="14">
        <f t="shared" si="22"/>
        <v>0</v>
      </c>
      <c r="AV33" s="11">
        <v>0</v>
      </c>
      <c r="AW33" s="14" t="e">
        <f t="shared" si="23"/>
        <v>#DIV/0!</v>
      </c>
      <c r="AX33" s="14">
        <f t="shared" si="24"/>
        <v>0</v>
      </c>
      <c r="AY33" s="11">
        <v>6847.6</v>
      </c>
      <c r="AZ33" s="11">
        <v>6863.5</v>
      </c>
      <c r="BA33" s="14">
        <f t="shared" si="25"/>
        <v>100.23219814241486</v>
      </c>
      <c r="BB33" s="11">
        <v>9989.06</v>
      </c>
      <c r="BC33" s="14">
        <f t="shared" si="26"/>
        <v>145.53886501056311</v>
      </c>
      <c r="BD33" s="11">
        <v>12058.76</v>
      </c>
      <c r="BE33" s="14">
        <f t="shared" si="27"/>
        <v>120.71966731604375</v>
      </c>
      <c r="BF33" s="11">
        <v>14180.2</v>
      </c>
      <c r="BG33" s="14">
        <f t="shared" si="28"/>
        <v>117.59252195084736</v>
      </c>
      <c r="BH33" s="11">
        <v>13824.8</v>
      </c>
      <c r="BI33" s="14">
        <f t="shared" si="29"/>
        <v>97.493688382392335</v>
      </c>
      <c r="BJ33" s="11">
        <f>4502.2/23.2/12*1000</f>
        <v>16171.695402298848</v>
      </c>
      <c r="BK33" s="14">
        <f t="shared" si="30"/>
        <v>116.97598086264429</v>
      </c>
      <c r="BL33" s="11">
        <f>1219.3/23.7/3*1000</f>
        <v>17149.085794655417</v>
      </c>
      <c r="BM33" s="14">
        <f t="shared" si="31"/>
        <v>106.04383379752274</v>
      </c>
      <c r="BN33" s="14">
        <f t="shared" si="32"/>
        <v>250.4393626183687</v>
      </c>
      <c r="BO33" s="11">
        <v>10256.94</v>
      </c>
      <c r="BP33" s="11">
        <v>11572.22</v>
      </c>
      <c r="BQ33" s="14">
        <f t="shared" si="33"/>
        <v>112.82331767564204</v>
      </c>
      <c r="BR33" s="11">
        <v>11744.44</v>
      </c>
      <c r="BS33" s="14">
        <f t="shared" si="34"/>
        <v>101.48821920081024</v>
      </c>
      <c r="BT33" s="11">
        <v>16320.24</v>
      </c>
      <c r="BU33" s="14">
        <f t="shared" si="35"/>
        <v>138.96141493336421</v>
      </c>
      <c r="BV33" s="11">
        <v>16916.669999999998</v>
      </c>
      <c r="BW33" s="14">
        <f t="shared" si="36"/>
        <v>103.65454184497287</v>
      </c>
      <c r="BX33" s="11">
        <v>17551.39</v>
      </c>
      <c r="BY33" s="14">
        <f t="shared" si="37"/>
        <v>103.75203866954902</v>
      </c>
      <c r="BZ33" s="11">
        <v>18187.5</v>
      </c>
      <c r="CA33" s="14">
        <f t="shared" si="38"/>
        <v>103.62427135400671</v>
      </c>
      <c r="CB33" s="11">
        <v>19638.89</v>
      </c>
      <c r="CC33" s="14">
        <f t="shared" si="39"/>
        <v>107.98015120274913</v>
      </c>
      <c r="CD33" s="20">
        <f t="shared" si="1"/>
        <v>191.46928811126904</v>
      </c>
    </row>
    <row r="34" spans="1:82" ht="25.5">
      <c r="A34" s="35">
        <f t="shared" si="40"/>
        <v>30</v>
      </c>
      <c r="B34" s="7" t="s">
        <v>37</v>
      </c>
      <c r="C34" s="11">
        <v>30736.58</v>
      </c>
      <c r="D34" s="11">
        <v>33091.699999999997</v>
      </c>
      <c r="E34" s="14">
        <f t="shared" si="41"/>
        <v>107.66227081867923</v>
      </c>
      <c r="F34" s="11">
        <v>35125.49</v>
      </c>
      <c r="G34" s="18">
        <f t="shared" si="0"/>
        <v>106.14592178703421</v>
      </c>
      <c r="H34" s="11">
        <v>34287.370000000003</v>
      </c>
      <c r="I34" s="14">
        <f t="shared" si="3"/>
        <v>97.613926524583732</v>
      </c>
      <c r="J34" s="11">
        <v>32685.599999999999</v>
      </c>
      <c r="K34" s="14">
        <f t="shared" si="4"/>
        <v>95.328396432855584</v>
      </c>
      <c r="L34" s="11">
        <v>31261.4</v>
      </c>
      <c r="M34" s="11">
        <f t="shared" si="5"/>
        <v>95.642729520033299</v>
      </c>
      <c r="N34" s="11">
        <v>48734.2</v>
      </c>
      <c r="O34" s="11">
        <f t="shared" si="6"/>
        <v>155.89257039032159</v>
      </c>
      <c r="P34" s="11">
        <v>48677.1</v>
      </c>
      <c r="Q34" s="11">
        <f t="shared" si="7"/>
        <v>99.882833821012767</v>
      </c>
      <c r="R34" s="11">
        <f t="shared" si="8"/>
        <v>158.36862786946367</v>
      </c>
      <c r="S34" s="11">
        <v>14644.6</v>
      </c>
      <c r="T34" s="11">
        <v>15190.5</v>
      </c>
      <c r="U34" s="14">
        <f t="shared" si="9"/>
        <v>103.72765387924558</v>
      </c>
      <c r="V34" s="11">
        <v>15519.64</v>
      </c>
      <c r="W34" s="14">
        <f t="shared" si="10"/>
        <v>102.16674895493894</v>
      </c>
      <c r="X34" s="11">
        <v>16151.75</v>
      </c>
      <c r="Y34" s="14">
        <f t="shared" si="11"/>
        <v>104.07296818740642</v>
      </c>
      <c r="Z34" s="11">
        <v>17580.099999999999</v>
      </c>
      <c r="AA34" s="14">
        <f t="shared" si="12"/>
        <v>108.8433141919606</v>
      </c>
      <c r="AB34" s="11">
        <v>18290.099999999999</v>
      </c>
      <c r="AC34" s="14">
        <f t="shared" si="13"/>
        <v>104.03865734552136</v>
      </c>
      <c r="AD34" s="11">
        <v>24367</v>
      </c>
      <c r="AE34" s="14">
        <f t="shared" si="14"/>
        <v>133.22507804768702</v>
      </c>
      <c r="AF34" s="11">
        <v>24806.9</v>
      </c>
      <c r="AG34" s="14">
        <f t="shared" si="15"/>
        <v>101.80531046086922</v>
      </c>
      <c r="AH34" s="14">
        <f t="shared" si="16"/>
        <v>80.708068366747369</v>
      </c>
      <c r="AI34" s="11">
        <v>8271.4</v>
      </c>
      <c r="AJ34" s="11">
        <v>9016.2000000000007</v>
      </c>
      <c r="AK34" s="14">
        <f t="shared" si="17"/>
        <v>109.00452160456516</v>
      </c>
      <c r="AL34" s="11">
        <v>10346.11</v>
      </c>
      <c r="AM34" s="14">
        <f t="shared" si="18"/>
        <v>114.75022736851446</v>
      </c>
      <c r="AN34" s="11">
        <v>8826.66</v>
      </c>
      <c r="AO34" s="14">
        <f t="shared" si="19"/>
        <v>85.313803932105884</v>
      </c>
      <c r="AP34" s="11">
        <v>8305</v>
      </c>
      <c r="AQ34" s="14">
        <f t="shared" si="20"/>
        <v>94.089950218995639</v>
      </c>
      <c r="AR34" s="11">
        <v>9308.7999999999993</v>
      </c>
      <c r="AS34" s="14">
        <f t="shared" si="21"/>
        <v>112.08669476219144</v>
      </c>
      <c r="AT34" s="11">
        <v>24118.400000000001</v>
      </c>
      <c r="AU34" s="14">
        <f t="shared" si="22"/>
        <v>259.09247163973879</v>
      </c>
      <c r="AV34" s="11">
        <v>0</v>
      </c>
      <c r="AW34" s="14">
        <f t="shared" si="23"/>
        <v>0</v>
      </c>
      <c r="AX34" s="14">
        <f t="shared" si="24"/>
        <v>0</v>
      </c>
      <c r="AY34" s="11">
        <v>18604.400000000001</v>
      </c>
      <c r="AZ34" s="11">
        <v>17771.3</v>
      </c>
      <c r="BA34" s="14">
        <f t="shared" si="25"/>
        <v>95.522027047365128</v>
      </c>
      <c r="BB34" s="11">
        <v>15731.94</v>
      </c>
      <c r="BC34" s="14">
        <f t="shared" si="26"/>
        <v>88.52441858502192</v>
      </c>
      <c r="BD34" s="11">
        <v>14542.73</v>
      </c>
      <c r="BE34" s="14">
        <f t="shared" si="27"/>
        <v>92.440792426108914</v>
      </c>
      <c r="BF34" s="11">
        <v>14781.4</v>
      </c>
      <c r="BG34" s="14">
        <f t="shared" si="28"/>
        <v>101.64116366046815</v>
      </c>
      <c r="BH34" s="11">
        <v>14442.8</v>
      </c>
      <c r="BI34" s="14">
        <f t="shared" si="29"/>
        <v>97.709283288457115</v>
      </c>
      <c r="BJ34" s="11">
        <f>8918.9/46.1/12*1000</f>
        <v>16122.378886478667</v>
      </c>
      <c r="BK34" s="14">
        <f t="shared" si="30"/>
        <v>111.62917776662881</v>
      </c>
      <c r="BL34" s="11">
        <f>2205.6/45.8/3*1000</f>
        <v>16052.401746724892</v>
      </c>
      <c r="BM34" s="14">
        <f t="shared" si="31"/>
        <v>99.565962689212924</v>
      </c>
      <c r="BN34" s="14">
        <f t="shared" si="32"/>
        <v>86.282824206773086</v>
      </c>
      <c r="BO34" s="11">
        <v>17291.03</v>
      </c>
      <c r="BP34" s="11">
        <v>19793.150000000001</v>
      </c>
      <c r="BQ34" s="14">
        <f t="shared" si="33"/>
        <v>114.47062436419347</v>
      </c>
      <c r="BR34" s="11">
        <v>21336.19</v>
      </c>
      <c r="BS34" s="14">
        <f t="shared" si="34"/>
        <v>107.79582835475907</v>
      </c>
      <c r="BT34" s="11">
        <v>22855.39</v>
      </c>
      <c r="BU34" s="14">
        <f t="shared" si="35"/>
        <v>107.1202965477904</v>
      </c>
      <c r="BV34" s="11">
        <v>23746.26</v>
      </c>
      <c r="BW34" s="14">
        <f t="shared" si="36"/>
        <v>103.89785516676811</v>
      </c>
      <c r="BX34" s="11">
        <v>24383.27</v>
      </c>
      <c r="BY34" s="14">
        <f t="shared" si="37"/>
        <v>102.68256980257102</v>
      </c>
      <c r="BZ34" s="11">
        <v>26500.19</v>
      </c>
      <c r="CA34" s="14">
        <f t="shared" si="38"/>
        <v>108.68185440262934</v>
      </c>
      <c r="CB34" s="11">
        <v>24023.279999999999</v>
      </c>
      <c r="CC34" s="14">
        <f t="shared" si="39"/>
        <v>90.653236825849177</v>
      </c>
      <c r="CD34" s="20">
        <f t="shared" si="1"/>
        <v>138.93492753178961</v>
      </c>
    </row>
    <row r="35" spans="1:82" ht="25.5">
      <c r="A35" s="35">
        <f t="shared" si="40"/>
        <v>31</v>
      </c>
      <c r="B35" s="7" t="s">
        <v>38</v>
      </c>
      <c r="C35" s="11">
        <v>29106.9</v>
      </c>
      <c r="D35" s="11">
        <v>35520.1</v>
      </c>
      <c r="E35" s="14">
        <f t="shared" si="41"/>
        <v>122.03326359042012</v>
      </c>
      <c r="F35" s="11">
        <v>37010</v>
      </c>
      <c r="G35" s="18">
        <f t="shared" si="0"/>
        <v>104.19452647937366</v>
      </c>
      <c r="H35" s="11">
        <v>35275.42</v>
      </c>
      <c r="I35" s="14">
        <f t="shared" si="3"/>
        <v>95.313212645231019</v>
      </c>
      <c r="J35" s="11">
        <v>35825.199999999997</v>
      </c>
      <c r="K35" s="14">
        <f t="shared" si="4"/>
        <v>101.5585356602416</v>
      </c>
      <c r="L35" s="11">
        <v>31927.3</v>
      </c>
      <c r="M35" s="11">
        <f t="shared" si="5"/>
        <v>89.119669952993988</v>
      </c>
      <c r="N35" s="11">
        <v>42501.5</v>
      </c>
      <c r="O35" s="11">
        <f t="shared" si="6"/>
        <v>133.11961863358317</v>
      </c>
      <c r="P35" s="11">
        <v>42902.5</v>
      </c>
      <c r="Q35" s="11">
        <f t="shared" si="7"/>
        <v>100.94349611190194</v>
      </c>
      <c r="R35" s="11">
        <f t="shared" si="8"/>
        <v>147.39632183434168</v>
      </c>
      <c r="S35" s="11">
        <v>11002.3</v>
      </c>
      <c r="T35" s="11">
        <v>13925.8</v>
      </c>
      <c r="U35" s="14">
        <f t="shared" si="9"/>
        <v>126.57171682284614</v>
      </c>
      <c r="V35" s="11">
        <v>14181.64</v>
      </c>
      <c r="W35" s="14">
        <f t="shared" si="10"/>
        <v>101.83716554883742</v>
      </c>
      <c r="X35" s="11">
        <v>14585.14</v>
      </c>
      <c r="Y35" s="14">
        <f t="shared" si="11"/>
        <v>102.84522805542942</v>
      </c>
      <c r="Z35" s="11">
        <v>16593.5</v>
      </c>
      <c r="AA35" s="14">
        <f t="shared" si="12"/>
        <v>113.76990553398872</v>
      </c>
      <c r="AB35" s="11">
        <v>17291.099999999999</v>
      </c>
      <c r="AC35" s="14">
        <f t="shared" si="13"/>
        <v>104.20405580498387</v>
      </c>
      <c r="AD35" s="11">
        <v>21204</v>
      </c>
      <c r="AE35" s="14">
        <f t="shared" si="14"/>
        <v>122.62956087235631</v>
      </c>
      <c r="AF35" s="11">
        <v>23224.1</v>
      </c>
      <c r="AG35" s="14">
        <f t="shared" si="15"/>
        <v>109.52697604225617</v>
      </c>
      <c r="AH35" s="14">
        <f t="shared" si="16"/>
        <v>79.788984742449372</v>
      </c>
      <c r="AI35" s="11">
        <v>6834.5</v>
      </c>
      <c r="AJ35" s="11">
        <v>9481.2000000000007</v>
      </c>
      <c r="AK35" s="14">
        <f t="shared" si="17"/>
        <v>138.72558343697418</v>
      </c>
      <c r="AL35" s="11">
        <v>9602</v>
      </c>
      <c r="AM35" s="14">
        <f t="shared" si="18"/>
        <v>101.27410032485338</v>
      </c>
      <c r="AN35" s="11">
        <v>10822.58</v>
      </c>
      <c r="AO35" s="14">
        <f t="shared" si="19"/>
        <v>112.71172672359926</v>
      </c>
      <c r="AP35" s="11">
        <v>11563.1</v>
      </c>
      <c r="AQ35" s="14">
        <f t="shared" si="20"/>
        <v>106.84236106362808</v>
      </c>
      <c r="AR35" s="11">
        <v>12166.7</v>
      </c>
      <c r="AS35" s="14">
        <f t="shared" si="21"/>
        <v>105.22005344587524</v>
      </c>
      <c r="AT35" s="11">
        <v>0</v>
      </c>
      <c r="AU35" s="14">
        <f t="shared" si="22"/>
        <v>0</v>
      </c>
      <c r="AV35" s="11">
        <v>0</v>
      </c>
      <c r="AW35" s="14" t="e">
        <f t="shared" si="23"/>
        <v>#DIV/0!</v>
      </c>
      <c r="AX35" s="14">
        <f t="shared" si="24"/>
        <v>0</v>
      </c>
      <c r="AY35" s="11">
        <v>12310.6</v>
      </c>
      <c r="AZ35" s="11">
        <v>14100.9</v>
      </c>
      <c r="BA35" s="14">
        <f t="shared" si="25"/>
        <v>114.54275177489318</v>
      </c>
      <c r="BB35" s="11">
        <v>16719.7</v>
      </c>
      <c r="BC35" s="14">
        <f t="shared" si="26"/>
        <v>118.57186420724919</v>
      </c>
      <c r="BD35" s="11">
        <v>11023.96</v>
      </c>
      <c r="BE35" s="14">
        <f t="shared" si="27"/>
        <v>65.933958145182032</v>
      </c>
      <c r="BF35" s="11">
        <v>11492.6</v>
      </c>
      <c r="BG35" s="14">
        <f t="shared" si="28"/>
        <v>104.25110395901294</v>
      </c>
      <c r="BH35" s="11">
        <v>11833.3</v>
      </c>
      <c r="BI35" s="14">
        <f t="shared" si="29"/>
        <v>102.96451629744357</v>
      </c>
      <c r="BJ35" s="11">
        <f>10924.7/63.4/12*1000</f>
        <v>14359.49001051525</v>
      </c>
      <c r="BK35" s="14">
        <f t="shared" si="30"/>
        <v>121.3481447315225</v>
      </c>
      <c r="BL35" s="11">
        <f>2839.1/61.4/3*1000</f>
        <v>15413.137893593919</v>
      </c>
      <c r="BM35" s="14">
        <f t="shared" si="31"/>
        <v>107.33764139469505</v>
      </c>
      <c r="BN35" s="14">
        <f t="shared" si="32"/>
        <v>125.20216637364481</v>
      </c>
      <c r="BO35" s="11">
        <v>14684.09</v>
      </c>
      <c r="BP35" s="11">
        <v>17178.79</v>
      </c>
      <c r="BQ35" s="14">
        <f t="shared" si="33"/>
        <v>116.98913586064918</v>
      </c>
      <c r="BR35" s="11">
        <v>18119.23</v>
      </c>
      <c r="BS35" s="14">
        <f t="shared" si="34"/>
        <v>105.47442514868625</v>
      </c>
      <c r="BT35" s="11">
        <v>16345.24</v>
      </c>
      <c r="BU35" s="14">
        <f t="shared" si="35"/>
        <v>90.209352163419751</v>
      </c>
      <c r="BV35" s="11">
        <v>19108.330000000002</v>
      </c>
      <c r="BW35" s="14">
        <f t="shared" si="36"/>
        <v>116.90455447579846</v>
      </c>
      <c r="BX35" s="11">
        <v>19800</v>
      </c>
      <c r="BY35" s="14">
        <f t="shared" si="37"/>
        <v>103.61973024330227</v>
      </c>
      <c r="BZ35" s="11">
        <v>19919.7</v>
      </c>
      <c r="CA35" s="14">
        <f t="shared" si="38"/>
        <v>100.60454545454547</v>
      </c>
      <c r="CB35" s="11">
        <v>29380</v>
      </c>
      <c r="CC35" s="14">
        <f t="shared" si="39"/>
        <v>147.4921811071452</v>
      </c>
      <c r="CD35" s="20">
        <f t="shared" si="1"/>
        <v>200.08049528435197</v>
      </c>
    </row>
    <row r="36" spans="1:82" ht="25.5">
      <c r="A36" s="35">
        <f t="shared" si="40"/>
        <v>32</v>
      </c>
      <c r="B36" s="7" t="s">
        <v>39</v>
      </c>
      <c r="C36" s="11">
        <v>36419.1</v>
      </c>
      <c r="D36" s="11">
        <v>36691.5</v>
      </c>
      <c r="E36" s="14">
        <f t="shared" si="41"/>
        <v>100.74795917526794</v>
      </c>
      <c r="F36" s="11">
        <v>39314.32</v>
      </c>
      <c r="G36" s="18">
        <f t="shared" si="0"/>
        <v>107.14830410313014</v>
      </c>
      <c r="H36" s="11">
        <v>41103.160000000003</v>
      </c>
      <c r="I36" s="14">
        <f t="shared" si="3"/>
        <v>104.55009777607754</v>
      </c>
      <c r="J36" s="11">
        <v>45405.5</v>
      </c>
      <c r="K36" s="14">
        <f t="shared" si="4"/>
        <v>110.46717575972261</v>
      </c>
      <c r="L36" s="11">
        <v>43954</v>
      </c>
      <c r="M36" s="11">
        <f t="shared" si="5"/>
        <v>96.803250707513413</v>
      </c>
      <c r="N36" s="11">
        <v>48782.3</v>
      </c>
      <c r="O36" s="11">
        <f t="shared" si="6"/>
        <v>110.98489329753833</v>
      </c>
      <c r="P36" s="11">
        <v>52528.6</v>
      </c>
      <c r="Q36" s="11">
        <f t="shared" si="7"/>
        <v>107.67962970175657</v>
      </c>
      <c r="R36" s="11">
        <f t="shared" si="8"/>
        <v>144.23365761372466</v>
      </c>
      <c r="S36" s="11">
        <v>12659.2</v>
      </c>
      <c r="T36" s="11">
        <v>14418.4</v>
      </c>
      <c r="U36" s="14">
        <f t="shared" si="9"/>
        <v>113.89661274014156</v>
      </c>
      <c r="V36" s="11">
        <v>15803.75</v>
      </c>
      <c r="W36" s="14">
        <f t="shared" si="10"/>
        <v>109.60820895522387</v>
      </c>
      <c r="X36" s="11">
        <v>16753.900000000001</v>
      </c>
      <c r="Y36" s="14">
        <f t="shared" si="11"/>
        <v>106.01218065332596</v>
      </c>
      <c r="Z36" s="11">
        <v>18023.8</v>
      </c>
      <c r="AA36" s="14">
        <f t="shared" si="12"/>
        <v>107.57972770519102</v>
      </c>
      <c r="AB36" s="11">
        <v>18658.400000000001</v>
      </c>
      <c r="AC36" s="14">
        <f t="shared" si="13"/>
        <v>103.52090014314408</v>
      </c>
      <c r="AD36" s="11">
        <v>22856.799999999999</v>
      </c>
      <c r="AE36" s="14">
        <f t="shared" si="14"/>
        <v>122.50139347425286</v>
      </c>
      <c r="AF36" s="11">
        <v>25234.400000000001</v>
      </c>
      <c r="AG36" s="14">
        <f t="shared" si="15"/>
        <v>110.40215603234049</v>
      </c>
      <c r="AH36" s="14">
        <f t="shared" si="16"/>
        <v>69.288917079224916</v>
      </c>
      <c r="AI36" s="11">
        <v>5619</v>
      </c>
      <c r="AJ36" s="11">
        <v>9460</v>
      </c>
      <c r="AK36" s="14">
        <f t="shared" si="17"/>
        <v>168.35735896066916</v>
      </c>
      <c r="AL36" s="11">
        <v>10700.25</v>
      </c>
      <c r="AM36" s="14">
        <f t="shared" si="18"/>
        <v>113.11046511627907</v>
      </c>
      <c r="AN36" s="11">
        <v>10880.8</v>
      </c>
      <c r="AO36" s="14">
        <f t="shared" si="19"/>
        <v>101.68734375365061</v>
      </c>
      <c r="AP36" s="11">
        <v>11203.2</v>
      </c>
      <c r="AQ36" s="14">
        <f t="shared" si="20"/>
        <v>102.96301742518934</v>
      </c>
      <c r="AR36" s="11">
        <v>13737.9</v>
      </c>
      <c r="AS36" s="14">
        <f t="shared" si="21"/>
        <v>122.6247857754927</v>
      </c>
      <c r="AT36" s="11">
        <v>24380.1</v>
      </c>
      <c r="AU36" s="14">
        <f t="shared" si="22"/>
        <v>177.46598825147947</v>
      </c>
      <c r="AV36" s="11">
        <v>24618.799999999999</v>
      </c>
      <c r="AW36" s="14">
        <f t="shared" si="23"/>
        <v>100.97907719820674</v>
      </c>
      <c r="AX36" s="14">
        <f t="shared" si="24"/>
        <v>438.13489944830036</v>
      </c>
      <c r="AY36" s="11">
        <v>22447.599999999999</v>
      </c>
      <c r="AZ36" s="11">
        <v>15189.7</v>
      </c>
      <c r="BA36" s="14">
        <f t="shared" si="25"/>
        <v>67.667367558224484</v>
      </c>
      <c r="BB36" s="11">
        <v>13597.01</v>
      </c>
      <c r="BC36" s="14">
        <f t="shared" si="26"/>
        <v>89.514671125828684</v>
      </c>
      <c r="BD36" s="11">
        <v>15388.85</v>
      </c>
      <c r="BE36" s="14">
        <f t="shared" si="27"/>
        <v>113.17819138178173</v>
      </c>
      <c r="BF36" s="11">
        <v>15397.9</v>
      </c>
      <c r="BG36" s="14">
        <f t="shared" si="28"/>
        <v>100.05880881287426</v>
      </c>
      <c r="BH36" s="11">
        <v>14691.3</v>
      </c>
      <c r="BI36" s="14">
        <f t="shared" si="29"/>
        <v>95.411062547490246</v>
      </c>
      <c r="BJ36" s="11">
        <f>16097.6/87.9/12*1000</f>
        <v>15261.281759575275</v>
      </c>
      <c r="BK36" s="14">
        <f t="shared" si="30"/>
        <v>103.87972309853639</v>
      </c>
      <c r="BL36" s="11">
        <f>5521.5/114.7/3*1000</f>
        <v>16046.2074978204</v>
      </c>
      <c r="BM36" s="14">
        <f t="shared" si="31"/>
        <v>105.14324910981114</v>
      </c>
      <c r="BN36" s="14">
        <f t="shared" si="32"/>
        <v>71.482953624531802</v>
      </c>
      <c r="BO36" s="11">
        <v>17308.53</v>
      </c>
      <c r="BP36" s="11">
        <v>22235.27</v>
      </c>
      <c r="BQ36" s="14">
        <f t="shared" si="33"/>
        <v>128.46423122009784</v>
      </c>
      <c r="BR36" s="11">
        <v>21722.77</v>
      </c>
      <c r="BS36" s="14">
        <f t="shared" si="34"/>
        <v>97.695103320085607</v>
      </c>
      <c r="BT36" s="11">
        <v>22373.9</v>
      </c>
      <c r="BU36" s="14">
        <f t="shared" si="35"/>
        <v>102.99745382379872</v>
      </c>
      <c r="BV36" s="11">
        <v>23501.26</v>
      </c>
      <c r="BW36" s="14">
        <f t="shared" si="36"/>
        <v>105.03872816093751</v>
      </c>
      <c r="BX36" s="11">
        <v>20466.63</v>
      </c>
      <c r="BY36" s="14">
        <f t="shared" si="37"/>
        <v>87.087373187650371</v>
      </c>
      <c r="BZ36" s="11">
        <v>25719.32</v>
      </c>
      <c r="CA36" s="14">
        <f t="shared" si="38"/>
        <v>125.66465509954496</v>
      </c>
      <c r="CB36" s="11">
        <v>24451.64</v>
      </c>
      <c r="CC36" s="14">
        <f t="shared" si="39"/>
        <v>95.071098302754507</v>
      </c>
      <c r="CD36" s="20">
        <f t="shared" si="1"/>
        <v>141.26930478787051</v>
      </c>
    </row>
    <row r="37" spans="1:82" ht="25.5">
      <c r="A37" s="35">
        <f t="shared" si="40"/>
        <v>33</v>
      </c>
      <c r="B37" s="7" t="s">
        <v>40</v>
      </c>
      <c r="C37" s="11">
        <v>26309.8</v>
      </c>
      <c r="D37" s="11">
        <v>34060.400000000001</v>
      </c>
      <c r="E37" s="14">
        <f t="shared" si="41"/>
        <v>129.45898486495526</v>
      </c>
      <c r="F37" s="11">
        <v>38689.74</v>
      </c>
      <c r="G37" s="18">
        <f t="shared" si="0"/>
        <v>113.59156087421169</v>
      </c>
      <c r="H37" s="11">
        <v>43990.22</v>
      </c>
      <c r="I37" s="14">
        <f t="shared" si="3"/>
        <v>113.69996283252357</v>
      </c>
      <c r="J37" s="11">
        <v>36873.599999999999</v>
      </c>
      <c r="K37" s="14">
        <f t="shared" si="4"/>
        <v>83.822267767699259</v>
      </c>
      <c r="L37" s="11">
        <v>34986.800000000003</v>
      </c>
      <c r="M37" s="11">
        <f t="shared" si="5"/>
        <v>94.88305996702249</v>
      </c>
      <c r="N37" s="11">
        <v>44604</v>
      </c>
      <c r="O37" s="11">
        <f t="shared" si="6"/>
        <v>127.48808121920266</v>
      </c>
      <c r="P37" s="11">
        <v>43016.7</v>
      </c>
      <c r="Q37" s="11">
        <f t="shared" si="7"/>
        <v>96.441350551520031</v>
      </c>
      <c r="R37" s="11">
        <f t="shared" si="8"/>
        <v>163.50067275311858</v>
      </c>
      <c r="S37" s="11">
        <v>10005.9</v>
      </c>
      <c r="T37" s="11">
        <v>13452.9</v>
      </c>
      <c r="U37" s="14">
        <f t="shared" si="9"/>
        <v>134.44967469193176</v>
      </c>
      <c r="V37" s="11">
        <v>15817.27</v>
      </c>
      <c r="W37" s="14">
        <f t="shared" si="10"/>
        <v>117.57516966601997</v>
      </c>
      <c r="X37" s="11">
        <v>15632.94</v>
      </c>
      <c r="Y37" s="14">
        <f t="shared" si="11"/>
        <v>98.834628225983366</v>
      </c>
      <c r="Z37" s="11">
        <v>15973.8</v>
      </c>
      <c r="AA37" s="14">
        <f t="shared" si="12"/>
        <v>102.18039600996356</v>
      </c>
      <c r="AB37" s="11">
        <v>17035</v>
      </c>
      <c r="AC37" s="14">
        <f t="shared" si="13"/>
        <v>106.64337853234673</v>
      </c>
      <c r="AD37" s="11">
        <v>22027.4</v>
      </c>
      <c r="AE37" s="14">
        <f t="shared" si="14"/>
        <v>129.30672145582625</v>
      </c>
      <c r="AF37" s="11">
        <v>24932.7</v>
      </c>
      <c r="AG37" s="14">
        <f t="shared" si="15"/>
        <v>113.18948219036291</v>
      </c>
      <c r="AH37" s="14">
        <f t="shared" si="16"/>
        <v>94.765828702612723</v>
      </c>
      <c r="AI37" s="11">
        <v>6825.3</v>
      </c>
      <c r="AJ37" s="11">
        <v>8565</v>
      </c>
      <c r="AK37" s="14">
        <f t="shared" si="17"/>
        <v>125.48898949496726</v>
      </c>
      <c r="AL37" s="11">
        <v>8362.98</v>
      </c>
      <c r="AM37" s="14">
        <f t="shared" si="18"/>
        <v>97.641330998248677</v>
      </c>
      <c r="AN37" s="11">
        <v>9597.06</v>
      </c>
      <c r="AO37" s="14">
        <f t="shared" si="19"/>
        <v>114.75646240933256</v>
      </c>
      <c r="AP37" s="11">
        <v>8693.2999999999993</v>
      </c>
      <c r="AQ37" s="14">
        <f t="shared" si="20"/>
        <v>90.582949361575317</v>
      </c>
      <c r="AR37" s="11">
        <v>11500.9</v>
      </c>
      <c r="AS37" s="14">
        <f t="shared" si="21"/>
        <v>132.29613610481636</v>
      </c>
      <c r="AT37" s="11">
        <v>23435.3</v>
      </c>
      <c r="AU37" s="14">
        <f t="shared" si="22"/>
        <v>203.76927023102539</v>
      </c>
      <c r="AV37" s="11">
        <v>24100</v>
      </c>
      <c r="AW37" s="14">
        <f t="shared" si="23"/>
        <v>102.8363195691969</v>
      </c>
      <c r="AX37" s="14">
        <f t="shared" si="24"/>
        <v>353.09803232092361</v>
      </c>
      <c r="AY37" s="11">
        <v>9319.7000000000007</v>
      </c>
      <c r="AZ37" s="11">
        <v>11143.3</v>
      </c>
      <c r="BA37" s="14">
        <f t="shared" si="25"/>
        <v>119.56715344914535</v>
      </c>
      <c r="BB37" s="11">
        <v>14015.8</v>
      </c>
      <c r="BC37" s="14">
        <f t="shared" si="26"/>
        <v>125.77782165067799</v>
      </c>
      <c r="BD37" s="11">
        <v>10186.459999999999</v>
      </c>
      <c r="BE37" s="14">
        <f t="shared" si="27"/>
        <v>72.678405799169511</v>
      </c>
      <c r="BF37" s="11">
        <v>12404.8</v>
      </c>
      <c r="BG37" s="14">
        <f t="shared" si="28"/>
        <v>121.77733972351534</v>
      </c>
      <c r="BH37" s="11">
        <v>12668.5</v>
      </c>
      <c r="BI37" s="14">
        <f t="shared" si="29"/>
        <v>102.12579001676771</v>
      </c>
      <c r="BJ37" s="11">
        <f>11824.4/71.5/12*1000</f>
        <v>13781.351981351982</v>
      </c>
      <c r="BK37" s="14">
        <f t="shared" si="30"/>
        <v>108.78440211036808</v>
      </c>
      <c r="BL37" s="11">
        <f>3629.6/83/3*1000</f>
        <v>14576.706827309237</v>
      </c>
      <c r="BM37" s="14">
        <f t="shared" si="31"/>
        <v>105.77123962172563</v>
      </c>
      <c r="BN37" s="14">
        <f t="shared" si="32"/>
        <v>156.40746834457372</v>
      </c>
      <c r="BO37" s="11">
        <v>13766.67</v>
      </c>
      <c r="BP37" s="11">
        <v>15921.97</v>
      </c>
      <c r="BQ37" s="14">
        <f t="shared" si="33"/>
        <v>115.65592841260812</v>
      </c>
      <c r="BR37" s="11">
        <v>18832.54</v>
      </c>
      <c r="BS37" s="14">
        <f t="shared" si="34"/>
        <v>118.28021281286173</v>
      </c>
      <c r="BT37" s="11">
        <v>18399.12</v>
      </c>
      <c r="BU37" s="14">
        <f t="shared" si="35"/>
        <v>97.698557921554922</v>
      </c>
      <c r="BV37" s="11">
        <v>17584.32</v>
      </c>
      <c r="BW37" s="14">
        <f t="shared" si="36"/>
        <v>95.571527333915967</v>
      </c>
      <c r="BX37" s="11">
        <v>17549.86</v>
      </c>
      <c r="BY37" s="14">
        <f t="shared" si="37"/>
        <v>99.804029953958988</v>
      </c>
      <c r="BZ37" s="11">
        <v>17135.259999999998</v>
      </c>
      <c r="CA37" s="14">
        <f t="shared" si="38"/>
        <v>97.637587992154906</v>
      </c>
      <c r="CB37" s="11">
        <v>18469.23</v>
      </c>
      <c r="CC37" s="14">
        <f t="shared" si="39"/>
        <v>107.78494169332711</v>
      </c>
      <c r="CD37" s="20">
        <f t="shared" si="1"/>
        <v>134.15902320604764</v>
      </c>
    </row>
    <row r="38" spans="1:82" ht="38.25">
      <c r="A38" s="35">
        <f t="shared" si="40"/>
        <v>34</v>
      </c>
      <c r="B38" s="7" t="s">
        <v>41</v>
      </c>
      <c r="C38" s="11">
        <v>26892.2</v>
      </c>
      <c r="D38" s="11">
        <v>31998.7</v>
      </c>
      <c r="E38" s="14">
        <f t="shared" si="41"/>
        <v>118.98877741501252</v>
      </c>
      <c r="F38" s="11">
        <v>37139.550000000003</v>
      </c>
      <c r="G38" s="18">
        <f t="shared" si="0"/>
        <v>116.06580892348752</v>
      </c>
      <c r="H38" s="11">
        <v>34389.129999999997</v>
      </c>
      <c r="I38" s="14">
        <f t="shared" si="3"/>
        <v>92.594363690459346</v>
      </c>
      <c r="J38" s="11">
        <v>33087.199999999997</v>
      </c>
      <c r="K38" s="14">
        <f t="shared" si="4"/>
        <v>96.21412347448161</v>
      </c>
      <c r="L38" s="11">
        <v>33670.800000000003</v>
      </c>
      <c r="M38" s="11">
        <f t="shared" si="5"/>
        <v>101.76382407698448</v>
      </c>
      <c r="N38" s="11">
        <v>45090</v>
      </c>
      <c r="O38" s="11">
        <f t="shared" si="6"/>
        <v>133.91425211162192</v>
      </c>
      <c r="P38" s="11">
        <v>45636.4</v>
      </c>
      <c r="Q38" s="11">
        <f t="shared" si="7"/>
        <v>101.21179862497227</v>
      </c>
      <c r="R38" s="11">
        <f t="shared" si="8"/>
        <v>169.70125166405128</v>
      </c>
      <c r="S38" s="11">
        <v>11289.2</v>
      </c>
      <c r="T38" s="11">
        <v>12931.4</v>
      </c>
      <c r="U38" s="14">
        <f t="shared" si="9"/>
        <v>114.54664635226588</v>
      </c>
      <c r="V38" s="11">
        <v>15904.7</v>
      </c>
      <c r="W38" s="14">
        <f t="shared" si="10"/>
        <v>122.99287006820607</v>
      </c>
      <c r="X38" s="11">
        <v>16100.42</v>
      </c>
      <c r="Y38" s="14">
        <f t="shared" si="11"/>
        <v>101.23057963998063</v>
      </c>
      <c r="Z38" s="11">
        <v>16492.099999999999</v>
      </c>
      <c r="AA38" s="14">
        <f t="shared" si="12"/>
        <v>102.43273156849324</v>
      </c>
      <c r="AB38" s="11">
        <v>16759.099999999999</v>
      </c>
      <c r="AC38" s="14">
        <f t="shared" si="13"/>
        <v>101.61895695514822</v>
      </c>
      <c r="AD38" s="11">
        <v>23295.599999999999</v>
      </c>
      <c r="AE38" s="14">
        <f t="shared" si="14"/>
        <v>139.00269107529641</v>
      </c>
      <c r="AF38" s="11">
        <v>24200.3</v>
      </c>
      <c r="AG38" s="14">
        <f t="shared" si="15"/>
        <v>103.88356599529524</v>
      </c>
      <c r="AH38" s="14">
        <f t="shared" si="16"/>
        <v>89.990034285034312</v>
      </c>
      <c r="AI38" s="11">
        <v>4563.3999999999996</v>
      </c>
      <c r="AJ38" s="11">
        <v>7626.8</v>
      </c>
      <c r="AK38" s="14">
        <f t="shared" si="17"/>
        <v>167.12977166148048</v>
      </c>
      <c r="AL38" s="11">
        <v>8164.99</v>
      </c>
      <c r="AM38" s="14">
        <f t="shared" si="18"/>
        <v>107.05656369643887</v>
      </c>
      <c r="AN38" s="11">
        <v>8749.93</v>
      </c>
      <c r="AO38" s="14">
        <f t="shared" si="19"/>
        <v>107.16400142559881</v>
      </c>
      <c r="AP38" s="11">
        <v>9087.7999999999993</v>
      </c>
      <c r="AQ38" s="14">
        <f t="shared" si="20"/>
        <v>103.86140231978997</v>
      </c>
      <c r="AR38" s="11">
        <v>11322.8</v>
      </c>
      <c r="AS38" s="14">
        <f t="shared" si="21"/>
        <v>124.59341094654373</v>
      </c>
      <c r="AT38" s="11">
        <v>21775.3</v>
      </c>
      <c r="AU38" s="14">
        <f t="shared" si="22"/>
        <v>192.31373865121702</v>
      </c>
      <c r="AV38" s="11">
        <v>19170</v>
      </c>
      <c r="AW38" s="14">
        <f t="shared" si="23"/>
        <v>88.035526491024243</v>
      </c>
      <c r="AX38" s="14">
        <f t="shared" si="24"/>
        <v>420.08151816627952</v>
      </c>
      <c r="AY38" s="11">
        <v>15808.9</v>
      </c>
      <c r="AZ38" s="11">
        <v>14203.4</v>
      </c>
      <c r="BA38" s="14">
        <f t="shared" si="25"/>
        <v>89.844328194877562</v>
      </c>
      <c r="BB38" s="11">
        <v>13493.66</v>
      </c>
      <c r="BC38" s="14">
        <f t="shared" si="26"/>
        <v>95.003027444133096</v>
      </c>
      <c r="BD38" s="11">
        <v>13284.29</v>
      </c>
      <c r="BE38" s="14">
        <f t="shared" si="27"/>
        <v>98.448382425524301</v>
      </c>
      <c r="BF38" s="11">
        <v>13309.4</v>
      </c>
      <c r="BG38" s="14">
        <f t="shared" si="28"/>
        <v>100.18902026378527</v>
      </c>
      <c r="BH38" s="11">
        <v>11777.6</v>
      </c>
      <c r="BI38" s="14">
        <f t="shared" si="29"/>
        <v>88.490841059702177</v>
      </c>
      <c r="BJ38" s="11">
        <f>26978.6/163.3/12*1000</f>
        <v>13767.401510512349</v>
      </c>
      <c r="BK38" s="14">
        <f t="shared" si="30"/>
        <v>116.89479614278247</v>
      </c>
      <c r="BL38" s="11">
        <f>7598.6/168.7/3*1000</f>
        <v>15014.028848053746</v>
      </c>
      <c r="BM38" s="14">
        <f t="shared" si="31"/>
        <v>109.05492105092971</v>
      </c>
      <c r="BN38" s="14">
        <f t="shared" si="32"/>
        <v>94.97200215102724</v>
      </c>
      <c r="BO38" s="11">
        <v>17584.12</v>
      </c>
      <c r="BP38" s="11">
        <v>19758.64</v>
      </c>
      <c r="BQ38" s="14">
        <f t="shared" si="33"/>
        <v>112.3663851247603</v>
      </c>
      <c r="BR38" s="11">
        <v>24373.67</v>
      </c>
      <c r="BS38" s="14">
        <f t="shared" si="34"/>
        <v>123.35702254811058</v>
      </c>
      <c r="BT38" s="11">
        <v>26396.71</v>
      </c>
      <c r="BU38" s="14">
        <f t="shared" si="35"/>
        <v>108.30010416978651</v>
      </c>
      <c r="BV38" s="11">
        <v>24712.85</v>
      </c>
      <c r="BW38" s="14">
        <f t="shared" si="36"/>
        <v>93.62094745898257</v>
      </c>
      <c r="BX38" s="11">
        <v>25241.51</v>
      </c>
      <c r="BY38" s="14">
        <f t="shared" si="37"/>
        <v>102.13921097728509</v>
      </c>
      <c r="BZ38" s="11">
        <v>25836.31</v>
      </c>
      <c r="CA38" s="14">
        <f t="shared" si="38"/>
        <v>102.35643588675956</v>
      </c>
      <c r="CB38" s="11">
        <v>25759.07</v>
      </c>
      <c r="CC38" s="14">
        <f t="shared" si="39"/>
        <v>99.701040899416356</v>
      </c>
      <c r="CD38" s="20">
        <f t="shared" si="1"/>
        <v>146.49052667975425</v>
      </c>
    </row>
    <row r="39" spans="1:82" ht="25.5">
      <c r="A39" s="35">
        <f t="shared" si="40"/>
        <v>35</v>
      </c>
      <c r="B39" s="7" t="s">
        <v>42</v>
      </c>
      <c r="C39" s="11">
        <v>23525</v>
      </c>
      <c r="D39" s="11">
        <v>24702.799999999999</v>
      </c>
      <c r="E39" s="14">
        <f t="shared" si="41"/>
        <v>105.00658873538788</v>
      </c>
      <c r="F39" s="11">
        <v>30628.33</v>
      </c>
      <c r="G39" s="18">
        <f t="shared" si="0"/>
        <v>123.98728079408004</v>
      </c>
      <c r="H39" s="11">
        <v>31823.61</v>
      </c>
      <c r="I39" s="14">
        <f t="shared" si="3"/>
        <v>103.90253076155311</v>
      </c>
      <c r="J39" s="11">
        <v>34122.9</v>
      </c>
      <c r="K39" s="14">
        <f t="shared" si="4"/>
        <v>107.22510739667813</v>
      </c>
      <c r="L39" s="11">
        <v>37284</v>
      </c>
      <c r="M39" s="11">
        <f t="shared" si="5"/>
        <v>109.2638667874067</v>
      </c>
      <c r="N39" s="11">
        <v>46979.199999999997</v>
      </c>
      <c r="O39" s="11">
        <f t="shared" si="6"/>
        <v>126.00364767728784</v>
      </c>
      <c r="P39" s="11">
        <v>41746.699999999997</v>
      </c>
      <c r="Q39" s="11">
        <f t="shared" si="7"/>
        <v>88.862092159934619</v>
      </c>
      <c r="R39" s="11">
        <f t="shared" si="8"/>
        <v>177.45674814027629</v>
      </c>
      <c r="S39" s="11">
        <v>17742.8</v>
      </c>
      <c r="T39" s="11">
        <v>23122.6</v>
      </c>
      <c r="U39" s="14">
        <f t="shared" si="9"/>
        <v>130.32103162973149</v>
      </c>
      <c r="V39" s="11">
        <v>24368.98</v>
      </c>
      <c r="W39" s="14">
        <f t="shared" si="10"/>
        <v>105.39031077819969</v>
      </c>
      <c r="X39" s="11">
        <v>24101.32</v>
      </c>
      <c r="Y39" s="14">
        <f t="shared" si="11"/>
        <v>98.901636424667743</v>
      </c>
      <c r="Z39" s="11">
        <v>23680</v>
      </c>
      <c r="AA39" s="14">
        <f t="shared" si="12"/>
        <v>98.251879980017691</v>
      </c>
      <c r="AB39" s="11">
        <v>24874.799999999999</v>
      </c>
      <c r="AC39" s="14">
        <f t="shared" si="13"/>
        <v>105.0456081081081</v>
      </c>
      <c r="AD39" s="11">
        <v>26414.9</v>
      </c>
      <c r="AE39" s="14">
        <f t="shared" si="14"/>
        <v>106.19140656407289</v>
      </c>
      <c r="AF39" s="11">
        <v>27060.6</v>
      </c>
      <c r="AG39" s="14">
        <f t="shared" si="15"/>
        <v>102.44445369848077</v>
      </c>
      <c r="AH39" s="14">
        <f t="shared" si="16"/>
        <v>115.02911795961744</v>
      </c>
      <c r="AI39" s="11">
        <v>8094.4</v>
      </c>
      <c r="AJ39" s="11">
        <v>10566.7</v>
      </c>
      <c r="AK39" s="14">
        <f t="shared" si="17"/>
        <v>130.54333860446729</v>
      </c>
      <c r="AL39" s="11">
        <v>14202.08</v>
      </c>
      <c r="AM39" s="14">
        <f t="shared" si="18"/>
        <v>134.40411859899496</v>
      </c>
      <c r="AN39" s="11">
        <v>15770.83</v>
      </c>
      <c r="AO39" s="14">
        <f t="shared" si="19"/>
        <v>111.04591721775965</v>
      </c>
      <c r="AP39" s="11">
        <v>14325.8</v>
      </c>
      <c r="AQ39" s="14">
        <f t="shared" si="20"/>
        <v>90.83732435134992</v>
      </c>
      <c r="AR39" s="11">
        <v>14278.4</v>
      </c>
      <c r="AS39" s="14">
        <f t="shared" si="21"/>
        <v>99.669128425637666</v>
      </c>
      <c r="AT39" s="11">
        <v>23434.5</v>
      </c>
      <c r="AU39" s="14">
        <f t="shared" si="22"/>
        <v>164.12553227252354</v>
      </c>
      <c r="AV39" s="11">
        <v>27311.1</v>
      </c>
      <c r="AW39" s="14">
        <f t="shared" si="23"/>
        <v>116.54227741150866</v>
      </c>
      <c r="AX39" s="14">
        <f t="shared" si="24"/>
        <v>337.40734334848781</v>
      </c>
      <c r="AY39" s="11">
        <v>26510</v>
      </c>
      <c r="AZ39" s="11">
        <v>22339.3</v>
      </c>
      <c r="BA39" s="14">
        <f t="shared" si="25"/>
        <v>84.26744624669935</v>
      </c>
      <c r="BB39" s="11">
        <v>23630.560000000001</v>
      </c>
      <c r="BC39" s="14">
        <f t="shared" si="26"/>
        <v>105.78021692711947</v>
      </c>
      <c r="BD39" s="11">
        <v>28181.94</v>
      </c>
      <c r="BE39" s="14">
        <f t="shared" si="27"/>
        <v>119.26056767169291</v>
      </c>
      <c r="BF39" s="11">
        <v>26400.9</v>
      </c>
      <c r="BG39" s="14">
        <f t="shared" si="28"/>
        <v>93.680207962972034</v>
      </c>
      <c r="BH39" s="11">
        <v>21401.7</v>
      </c>
      <c r="BI39" s="14">
        <f t="shared" si="29"/>
        <v>81.06428189948069</v>
      </c>
      <c r="BJ39" s="11">
        <f>1478.8/5/12*1000</f>
        <v>24646.666666666664</v>
      </c>
      <c r="BK39" s="14">
        <f t="shared" si="30"/>
        <v>115.16219116549931</v>
      </c>
      <c r="BL39" s="11">
        <f>415.3/5/3*1000</f>
        <v>27686.666666666668</v>
      </c>
      <c r="BM39" s="14">
        <f t="shared" si="31"/>
        <v>112.33432512848256</v>
      </c>
      <c r="BN39" s="14">
        <f t="shared" si="32"/>
        <v>104.43857663774676</v>
      </c>
      <c r="BO39" s="11">
        <v>22843.57</v>
      </c>
      <c r="BP39" s="11">
        <v>24460.240000000002</v>
      </c>
      <c r="BQ39" s="14">
        <f t="shared" si="33"/>
        <v>107.07713374047927</v>
      </c>
      <c r="BR39" s="11">
        <v>24214.34</v>
      </c>
      <c r="BS39" s="14">
        <f t="shared" si="34"/>
        <v>98.994695064316616</v>
      </c>
      <c r="BT39" s="11">
        <v>27284.44</v>
      </c>
      <c r="BU39" s="14">
        <f t="shared" si="35"/>
        <v>112.6788506314853</v>
      </c>
      <c r="BV39" s="11">
        <v>27257.63</v>
      </c>
      <c r="BW39" s="14">
        <f t="shared" si="36"/>
        <v>99.901738866548115</v>
      </c>
      <c r="BX39" s="11">
        <v>21520</v>
      </c>
      <c r="BY39" s="14">
        <f t="shared" si="37"/>
        <v>78.950370960351279</v>
      </c>
      <c r="BZ39" s="11">
        <v>25481.03</v>
      </c>
      <c r="CA39" s="14">
        <f t="shared" si="38"/>
        <v>118.40627323420074</v>
      </c>
      <c r="CB39" s="11">
        <v>27797.78</v>
      </c>
      <c r="CC39" s="14">
        <f t="shared" si="39"/>
        <v>109.09205789561882</v>
      </c>
      <c r="CD39" s="20">
        <f t="shared" si="1"/>
        <v>121.68754708655433</v>
      </c>
    </row>
    <row r="40" spans="1:82" ht="25.5">
      <c r="A40" s="35">
        <f t="shared" si="40"/>
        <v>36</v>
      </c>
      <c r="B40" s="7" t="s">
        <v>43</v>
      </c>
      <c r="C40" s="11">
        <v>34148.800000000003</v>
      </c>
      <c r="D40" s="11">
        <v>41653.199999999997</v>
      </c>
      <c r="E40" s="14">
        <f t="shared" si="41"/>
        <v>121.97558918615002</v>
      </c>
      <c r="F40" s="11">
        <v>44982.5</v>
      </c>
      <c r="G40" s="18">
        <f t="shared" si="0"/>
        <v>107.99290330634861</v>
      </c>
      <c r="H40" s="11">
        <v>42800.83</v>
      </c>
      <c r="I40" s="14">
        <f t="shared" si="3"/>
        <v>95.149958317123335</v>
      </c>
      <c r="J40" s="11">
        <v>39095</v>
      </c>
      <c r="K40" s="14">
        <f t="shared" si="4"/>
        <v>91.34168659813372</v>
      </c>
      <c r="L40" s="11">
        <v>37375.699999999997</v>
      </c>
      <c r="M40" s="11">
        <f t="shared" si="5"/>
        <v>95.602250927228539</v>
      </c>
      <c r="N40" s="11">
        <v>51150.7</v>
      </c>
      <c r="O40" s="11">
        <f t="shared" si="6"/>
        <v>136.85549702079157</v>
      </c>
      <c r="P40" s="11">
        <v>49658.3</v>
      </c>
      <c r="Q40" s="11">
        <f t="shared" si="7"/>
        <v>97.082346869153312</v>
      </c>
      <c r="R40" s="11">
        <f t="shared" si="8"/>
        <v>145.41740851801529</v>
      </c>
      <c r="S40" s="11">
        <v>13424.2</v>
      </c>
      <c r="T40" s="11">
        <v>15041.8</v>
      </c>
      <c r="U40" s="14">
        <f t="shared" si="9"/>
        <v>112.04988006734106</v>
      </c>
      <c r="V40" s="11">
        <v>15881.47</v>
      </c>
      <c r="W40" s="14">
        <f t="shared" si="10"/>
        <v>105.58224414631228</v>
      </c>
      <c r="X40" s="11">
        <v>16039.67</v>
      </c>
      <c r="Y40" s="14">
        <f t="shared" si="11"/>
        <v>100.99612945149286</v>
      </c>
      <c r="Z40" s="11">
        <v>16638</v>
      </c>
      <c r="AA40" s="14">
        <f t="shared" si="12"/>
        <v>103.73031365358514</v>
      </c>
      <c r="AB40" s="11">
        <v>16895.3</v>
      </c>
      <c r="AC40" s="14">
        <f t="shared" si="13"/>
        <v>101.54645991104701</v>
      </c>
      <c r="AD40" s="11">
        <v>24199.9</v>
      </c>
      <c r="AE40" s="14">
        <f t="shared" si="14"/>
        <v>143.23450900546305</v>
      </c>
      <c r="AF40" s="11">
        <v>25527.200000000001</v>
      </c>
      <c r="AG40" s="14">
        <f t="shared" si="15"/>
        <v>105.4847334079893</v>
      </c>
      <c r="AH40" s="14">
        <f t="shared" si="16"/>
        <v>74.752846366490175</v>
      </c>
      <c r="AI40" s="11">
        <v>8145.8</v>
      </c>
      <c r="AJ40" s="11">
        <v>10734.3</v>
      </c>
      <c r="AK40" s="14">
        <f t="shared" si="17"/>
        <v>131.77711213140512</v>
      </c>
      <c r="AL40" s="11">
        <v>12545.69</v>
      </c>
      <c r="AM40" s="14">
        <f t="shared" si="18"/>
        <v>116.87478456909162</v>
      </c>
      <c r="AN40" s="11">
        <v>11479.76</v>
      </c>
      <c r="AO40" s="14">
        <f t="shared" si="19"/>
        <v>91.503615982859458</v>
      </c>
      <c r="AP40" s="11">
        <v>11074.4</v>
      </c>
      <c r="AQ40" s="14">
        <f t="shared" si="20"/>
        <v>96.468915726461177</v>
      </c>
      <c r="AR40" s="11">
        <v>12414.1</v>
      </c>
      <c r="AS40" s="14">
        <f t="shared" si="21"/>
        <v>112.097269378025</v>
      </c>
      <c r="AT40" s="11">
        <v>23033.3</v>
      </c>
      <c r="AU40" s="14">
        <f t="shared" si="22"/>
        <v>185.54144078104736</v>
      </c>
      <c r="AV40" s="11">
        <v>25509.5</v>
      </c>
      <c r="AW40" s="14">
        <f t="shared" si="23"/>
        <v>110.75052207022007</v>
      </c>
      <c r="AX40" s="14">
        <f t="shared" si="24"/>
        <v>313.16138378059856</v>
      </c>
      <c r="AY40" s="11">
        <v>12708.3</v>
      </c>
      <c r="AZ40" s="11">
        <v>12267.4</v>
      </c>
      <c r="BA40" s="14">
        <f t="shared" si="25"/>
        <v>96.530613850790431</v>
      </c>
      <c r="BB40" s="11">
        <v>15870</v>
      </c>
      <c r="BC40" s="14">
        <f t="shared" si="26"/>
        <v>129.36726608735347</v>
      </c>
      <c r="BD40" s="11">
        <v>15072.66</v>
      </c>
      <c r="BE40" s="14">
        <f t="shared" si="27"/>
        <v>94.975803402646491</v>
      </c>
      <c r="BF40" s="11">
        <v>14508.8</v>
      </c>
      <c r="BG40" s="14">
        <f t="shared" si="28"/>
        <v>96.259054473463863</v>
      </c>
      <c r="BH40" s="11">
        <v>12796.5</v>
      </c>
      <c r="BI40" s="14">
        <f t="shared" si="29"/>
        <v>88.198196956329951</v>
      </c>
      <c r="BJ40" s="11">
        <f>8373.3/43/12*1000</f>
        <v>16227.325581395347</v>
      </c>
      <c r="BK40" s="14">
        <f t="shared" si="30"/>
        <v>126.81065589337199</v>
      </c>
      <c r="BL40" s="11">
        <f>2553.2/43/3*1000</f>
        <v>19792.248062015504</v>
      </c>
      <c r="BM40" s="14">
        <f t="shared" si="31"/>
        <v>121.96863841018477</v>
      </c>
      <c r="BN40" s="14">
        <f t="shared" si="32"/>
        <v>155.74268833766519</v>
      </c>
      <c r="BO40" s="11">
        <v>10575.76</v>
      </c>
      <c r="BP40" s="11">
        <v>10440.48</v>
      </c>
      <c r="BQ40" s="14">
        <f t="shared" si="33"/>
        <v>98.720848430751076</v>
      </c>
      <c r="BR40" s="11">
        <v>14211.9</v>
      </c>
      <c r="BS40" s="14">
        <f t="shared" si="34"/>
        <v>136.12305181370971</v>
      </c>
      <c r="BT40" s="11">
        <v>16615.48</v>
      </c>
      <c r="BU40" s="14">
        <f t="shared" si="35"/>
        <v>116.91244661164235</v>
      </c>
      <c r="BV40" s="11">
        <v>17869.05</v>
      </c>
      <c r="BW40" s="14">
        <f t="shared" si="36"/>
        <v>107.54459094771862</v>
      </c>
      <c r="BX40" s="11">
        <v>17235.12</v>
      </c>
      <c r="BY40" s="14">
        <f t="shared" si="37"/>
        <v>96.452357567973678</v>
      </c>
      <c r="BZ40" s="11">
        <v>17685.900000000001</v>
      </c>
      <c r="CA40" s="14">
        <f t="shared" si="38"/>
        <v>102.61547352150725</v>
      </c>
      <c r="CB40" s="11">
        <v>15812.5</v>
      </c>
      <c r="CC40" s="14">
        <f t="shared" si="39"/>
        <v>89.407381021039356</v>
      </c>
      <c r="CD40" s="20">
        <f t="shared" si="1"/>
        <v>149.51644137158937</v>
      </c>
    </row>
    <row r="41" spans="1:82" ht="25.5">
      <c r="A41" s="35">
        <f t="shared" si="40"/>
        <v>37</v>
      </c>
      <c r="B41" s="7" t="s">
        <v>44</v>
      </c>
      <c r="C41" s="11">
        <v>27843.5</v>
      </c>
      <c r="D41" s="11">
        <v>31419.4</v>
      </c>
      <c r="E41" s="14">
        <f t="shared" si="41"/>
        <v>112.84285380789055</v>
      </c>
      <c r="F41" s="11">
        <v>35992.86</v>
      </c>
      <c r="G41" s="18">
        <f t="shared" si="0"/>
        <v>114.55616593569577</v>
      </c>
      <c r="H41" s="11">
        <v>40165.51</v>
      </c>
      <c r="I41" s="14">
        <f t="shared" si="3"/>
        <v>111.59299372153255</v>
      </c>
      <c r="J41" s="11">
        <v>39197.599999999999</v>
      </c>
      <c r="K41" s="14">
        <f t="shared" si="4"/>
        <v>97.590196165814888</v>
      </c>
      <c r="L41" s="11">
        <v>38542.300000000003</v>
      </c>
      <c r="M41" s="11">
        <f t="shared" si="5"/>
        <v>98.328213972284033</v>
      </c>
      <c r="N41" s="11">
        <v>49506.7</v>
      </c>
      <c r="O41" s="11">
        <f t="shared" si="6"/>
        <v>128.44770550797432</v>
      </c>
      <c r="P41" s="11">
        <v>54000</v>
      </c>
      <c r="Q41" s="11">
        <f t="shared" si="7"/>
        <v>109.07614524902691</v>
      </c>
      <c r="R41" s="11">
        <f t="shared" si="8"/>
        <v>193.94113527394185</v>
      </c>
      <c r="S41" s="11">
        <v>12151.1</v>
      </c>
      <c r="T41" s="11">
        <v>13247.3</v>
      </c>
      <c r="U41" s="14">
        <f t="shared" si="9"/>
        <v>109.02140546946366</v>
      </c>
      <c r="V41" s="11">
        <v>16819.27</v>
      </c>
      <c r="W41" s="14">
        <f t="shared" si="10"/>
        <v>126.96375865270659</v>
      </c>
      <c r="X41" s="11">
        <v>19709.88</v>
      </c>
      <c r="Y41" s="14">
        <f t="shared" si="11"/>
        <v>117.18629881082829</v>
      </c>
      <c r="Z41" s="11">
        <v>18993.2</v>
      </c>
      <c r="AA41" s="14">
        <f t="shared" si="12"/>
        <v>96.363854067097307</v>
      </c>
      <c r="AB41" s="11">
        <v>17180.599999999999</v>
      </c>
      <c r="AC41" s="14">
        <f t="shared" si="13"/>
        <v>90.456584461807381</v>
      </c>
      <c r="AD41" s="11">
        <v>22995.4</v>
      </c>
      <c r="AE41" s="14">
        <f t="shared" si="14"/>
        <v>133.84515092604451</v>
      </c>
      <c r="AF41" s="11">
        <v>24577.599999999999</v>
      </c>
      <c r="AG41" s="14">
        <f t="shared" si="15"/>
        <v>106.8805065360898</v>
      </c>
      <c r="AH41" s="14">
        <f t="shared" si="16"/>
        <v>88.270511968682101</v>
      </c>
      <c r="AI41" s="11">
        <v>5861.9</v>
      </c>
      <c r="AJ41" s="11">
        <v>7314.3</v>
      </c>
      <c r="AK41" s="14">
        <f t="shared" si="17"/>
        <v>124.77694945324896</v>
      </c>
      <c r="AL41" s="11">
        <v>8746.18</v>
      </c>
      <c r="AM41" s="14">
        <f t="shared" si="18"/>
        <v>119.57644613975364</v>
      </c>
      <c r="AN41" s="11">
        <v>9936.36</v>
      </c>
      <c r="AO41" s="14">
        <f t="shared" si="19"/>
        <v>113.60799800598662</v>
      </c>
      <c r="AP41" s="11">
        <v>10802.1</v>
      </c>
      <c r="AQ41" s="14">
        <f t="shared" si="20"/>
        <v>108.71284856828858</v>
      </c>
      <c r="AR41" s="11">
        <v>12883.2</v>
      </c>
      <c r="AS41" s="14">
        <f t="shared" si="21"/>
        <v>119.26569833643458</v>
      </c>
      <c r="AT41" s="11">
        <v>21883.3</v>
      </c>
      <c r="AU41" s="14">
        <f t="shared" si="22"/>
        <v>169.85919647292596</v>
      </c>
      <c r="AV41" s="11">
        <v>20560</v>
      </c>
      <c r="AW41" s="14">
        <f t="shared" si="23"/>
        <v>93.952923005214032</v>
      </c>
      <c r="AX41" s="14">
        <f t="shared" si="24"/>
        <v>350.73952131561441</v>
      </c>
      <c r="AY41" s="11">
        <v>9340.9</v>
      </c>
      <c r="AZ41" s="11">
        <v>11103</v>
      </c>
      <c r="BA41" s="14">
        <f t="shared" si="25"/>
        <v>118.8643492597073</v>
      </c>
      <c r="BB41" s="11">
        <v>13538.33</v>
      </c>
      <c r="BC41" s="14">
        <f t="shared" si="26"/>
        <v>121.9339818067189</v>
      </c>
      <c r="BD41" s="11">
        <v>12209.46</v>
      </c>
      <c r="BE41" s="14">
        <f t="shared" si="27"/>
        <v>90.184387586947565</v>
      </c>
      <c r="BF41" s="11">
        <v>12538.1</v>
      </c>
      <c r="BG41" s="14">
        <f t="shared" si="28"/>
        <v>102.69168333407049</v>
      </c>
      <c r="BH41" s="11">
        <v>12492.8</v>
      </c>
      <c r="BI41" s="14">
        <f t="shared" si="29"/>
        <v>99.638701238624662</v>
      </c>
      <c r="BJ41" s="11">
        <f>7301.9/41.4/12*1000</f>
        <v>14697.866344605474</v>
      </c>
      <c r="BK41" s="14">
        <f t="shared" si="30"/>
        <v>117.65069755863757</v>
      </c>
      <c r="BL41" s="11">
        <f>2093.8/42.5/3*1000</f>
        <v>16421.960784313727</v>
      </c>
      <c r="BM41" s="14">
        <f t="shared" si="31"/>
        <v>111.73023620765909</v>
      </c>
      <c r="BN41" s="14">
        <f t="shared" si="32"/>
        <v>175.80705054452704</v>
      </c>
      <c r="BO41" s="11">
        <v>10972.5</v>
      </c>
      <c r="BP41" s="11">
        <v>11627.78</v>
      </c>
      <c r="BQ41" s="14">
        <f t="shared" si="33"/>
        <v>105.97202096149465</v>
      </c>
      <c r="BR41" s="11">
        <v>14297.98</v>
      </c>
      <c r="BS41" s="14">
        <f t="shared" si="34"/>
        <v>122.96397076656076</v>
      </c>
      <c r="BT41" s="11">
        <v>15756.41</v>
      </c>
      <c r="BU41" s="14">
        <f t="shared" si="35"/>
        <v>110.20025206357822</v>
      </c>
      <c r="BV41" s="11">
        <v>16488.669999999998</v>
      </c>
      <c r="BW41" s="14">
        <f t="shared" si="36"/>
        <v>104.6473784320159</v>
      </c>
      <c r="BX41" s="11">
        <v>16285.71</v>
      </c>
      <c r="BY41" s="14">
        <f t="shared" si="37"/>
        <v>98.769094171937468</v>
      </c>
      <c r="BZ41" s="11">
        <v>19383.490000000002</v>
      </c>
      <c r="CA41" s="14">
        <f t="shared" si="38"/>
        <v>119.02146114599856</v>
      </c>
      <c r="CB41" s="11">
        <v>19214.169999999998</v>
      </c>
      <c r="CC41" s="14">
        <f t="shared" si="39"/>
        <v>99.126473096434111</v>
      </c>
      <c r="CD41" s="20">
        <f t="shared" si="1"/>
        <v>175.11205285942125</v>
      </c>
    </row>
    <row r="42" spans="1:82" ht="25.5">
      <c r="A42" s="35">
        <f t="shared" si="40"/>
        <v>38</v>
      </c>
      <c r="B42" s="7" t="s">
        <v>45</v>
      </c>
      <c r="C42" s="11">
        <v>30691.1</v>
      </c>
      <c r="D42" s="11">
        <v>38791.599999999999</v>
      </c>
      <c r="E42" s="14">
        <f t="shared" si="41"/>
        <v>126.39364506322678</v>
      </c>
      <c r="F42" s="11">
        <v>41753.21</v>
      </c>
      <c r="G42" s="18">
        <f t="shared" si="0"/>
        <v>107.63466833025707</v>
      </c>
      <c r="H42" s="11">
        <v>40017.06</v>
      </c>
      <c r="I42" s="14">
        <f t="shared" si="3"/>
        <v>95.841876588650308</v>
      </c>
      <c r="J42" s="11">
        <v>36823.9</v>
      </c>
      <c r="K42" s="14">
        <f t="shared" si="4"/>
        <v>92.020503255361604</v>
      </c>
      <c r="L42" s="11">
        <v>34958.300000000003</v>
      </c>
      <c r="M42" s="11">
        <f t="shared" si="5"/>
        <v>94.933725107878303</v>
      </c>
      <c r="N42" s="11">
        <v>48726.2</v>
      </c>
      <c r="O42" s="11">
        <f t="shared" si="6"/>
        <v>139.38378010372355</v>
      </c>
      <c r="P42" s="11">
        <v>55697</v>
      </c>
      <c r="Q42" s="11">
        <f t="shared" si="7"/>
        <v>114.30606121552678</v>
      </c>
      <c r="R42" s="11">
        <f t="shared" si="8"/>
        <v>181.47606309320946</v>
      </c>
      <c r="S42" s="11">
        <v>11915.5</v>
      </c>
      <c r="T42" s="11">
        <v>14724.7</v>
      </c>
      <c r="U42" s="14">
        <f t="shared" si="9"/>
        <v>123.57601443497965</v>
      </c>
      <c r="V42" s="11">
        <v>16492.78</v>
      </c>
      <c r="W42" s="14">
        <f t="shared" si="10"/>
        <v>112.00757910178135</v>
      </c>
      <c r="X42" s="11">
        <v>17341.52</v>
      </c>
      <c r="Y42" s="14">
        <f t="shared" si="11"/>
        <v>105.14613060987901</v>
      </c>
      <c r="Z42" s="11">
        <v>17328.900000000001</v>
      </c>
      <c r="AA42" s="14">
        <f t="shared" si="12"/>
        <v>99.927226679091575</v>
      </c>
      <c r="AB42" s="11">
        <v>17754.599999999999</v>
      </c>
      <c r="AC42" s="14">
        <f t="shared" si="13"/>
        <v>102.45658985855997</v>
      </c>
      <c r="AD42" s="11">
        <v>24206.7</v>
      </c>
      <c r="AE42" s="14">
        <f t="shared" si="14"/>
        <v>136.3404413504106</v>
      </c>
      <c r="AF42" s="11">
        <v>25592.9</v>
      </c>
      <c r="AG42" s="14">
        <f t="shared" si="15"/>
        <v>105.72651373380097</v>
      </c>
      <c r="AH42" s="14">
        <f t="shared" si="16"/>
        <v>83.388669679483641</v>
      </c>
      <c r="AI42" s="11">
        <v>7094.1</v>
      </c>
      <c r="AJ42" s="11">
        <v>8436.7999999999993</v>
      </c>
      <c r="AK42" s="14">
        <f t="shared" si="17"/>
        <v>118.92699567246019</v>
      </c>
      <c r="AL42" s="11">
        <v>9493.75</v>
      </c>
      <c r="AM42" s="14">
        <f t="shared" si="18"/>
        <v>112.52785416271574</v>
      </c>
      <c r="AN42" s="11">
        <v>8885.4699999999993</v>
      </c>
      <c r="AO42" s="14">
        <f t="shared" si="19"/>
        <v>93.592837393021725</v>
      </c>
      <c r="AP42" s="11">
        <v>8315.1</v>
      </c>
      <c r="AQ42" s="14">
        <f t="shared" si="20"/>
        <v>93.580868541562808</v>
      </c>
      <c r="AR42" s="11">
        <v>9354.2000000000007</v>
      </c>
      <c r="AS42" s="14">
        <f t="shared" si="21"/>
        <v>112.49654243484746</v>
      </c>
      <c r="AT42" s="11">
        <v>23800</v>
      </c>
      <c r="AU42" s="14">
        <f t="shared" si="22"/>
        <v>254.43116461054927</v>
      </c>
      <c r="AV42" s="11">
        <v>23600</v>
      </c>
      <c r="AW42" s="14">
        <f t="shared" si="23"/>
        <v>99.159663865546221</v>
      </c>
      <c r="AX42" s="14">
        <f t="shared" si="24"/>
        <v>332.67081095558279</v>
      </c>
      <c r="AY42" s="11">
        <v>10184.5</v>
      </c>
      <c r="AZ42" s="11">
        <v>12628.5</v>
      </c>
      <c r="BA42" s="14">
        <f t="shared" si="25"/>
        <v>123.99725072413963</v>
      </c>
      <c r="BB42" s="11">
        <v>11590.7</v>
      </c>
      <c r="BC42" s="14">
        <f t="shared" si="26"/>
        <v>91.782080215385847</v>
      </c>
      <c r="BD42" s="11">
        <v>11361.25</v>
      </c>
      <c r="BE42" s="14">
        <f t="shared" si="27"/>
        <v>98.020395662039377</v>
      </c>
      <c r="BF42" s="11">
        <v>13018.3</v>
      </c>
      <c r="BG42" s="14">
        <f t="shared" si="28"/>
        <v>114.58510287160304</v>
      </c>
      <c r="BH42" s="11">
        <v>12725.9</v>
      </c>
      <c r="BI42" s="14">
        <f t="shared" si="29"/>
        <v>97.753931004816295</v>
      </c>
      <c r="BJ42" s="11">
        <f>7948.1/45.1/12*1000</f>
        <v>14686.067997043609</v>
      </c>
      <c r="BK42" s="14">
        <f t="shared" si="30"/>
        <v>115.40298129832553</v>
      </c>
      <c r="BL42" s="11">
        <f>2156.4/45.5/3*1000</f>
        <v>15797.802197802199</v>
      </c>
      <c r="BM42" s="14">
        <f t="shared" si="31"/>
        <v>107.56999219248058</v>
      </c>
      <c r="BN42" s="14">
        <f t="shared" si="32"/>
        <v>155.11612939076244</v>
      </c>
      <c r="BO42" s="11">
        <v>12034</v>
      </c>
      <c r="BP42" s="11">
        <v>14221.25</v>
      </c>
      <c r="BQ42" s="14">
        <f t="shared" si="33"/>
        <v>118.17558584011967</v>
      </c>
      <c r="BR42" s="11">
        <v>15156.1</v>
      </c>
      <c r="BS42" s="14">
        <f t="shared" si="34"/>
        <v>106.5736134306056</v>
      </c>
      <c r="BT42" s="11">
        <v>15283.33</v>
      </c>
      <c r="BU42" s="14">
        <f t="shared" si="35"/>
        <v>100.83946397820019</v>
      </c>
      <c r="BV42" s="11">
        <v>18649.650000000001</v>
      </c>
      <c r="BW42" s="14">
        <f t="shared" si="36"/>
        <v>122.02608986392364</v>
      </c>
      <c r="BX42" s="11">
        <v>19115.12</v>
      </c>
      <c r="BY42" s="14">
        <f t="shared" si="37"/>
        <v>102.49586453365076</v>
      </c>
      <c r="BZ42" s="11">
        <v>23476.05</v>
      </c>
      <c r="CA42" s="14">
        <f t="shared" si="38"/>
        <v>122.81403412586475</v>
      </c>
      <c r="CB42" s="11">
        <v>24496.53</v>
      </c>
      <c r="CC42" s="14">
        <f t="shared" si="39"/>
        <v>104.34689822180478</v>
      </c>
      <c r="CD42" s="20">
        <f t="shared" si="1"/>
        <v>203.56099385075618</v>
      </c>
    </row>
    <row r="43" spans="1:82" ht="25.5">
      <c r="A43" s="35">
        <f t="shared" si="40"/>
        <v>39</v>
      </c>
      <c r="B43" s="7" t="s">
        <v>46</v>
      </c>
      <c r="C43" s="11">
        <v>27181.3</v>
      </c>
      <c r="D43" s="11">
        <v>23024.1</v>
      </c>
      <c r="E43" s="14">
        <f t="shared" si="41"/>
        <v>84.705661612947139</v>
      </c>
      <c r="F43" s="11">
        <v>29372.92</v>
      </c>
      <c r="G43" s="18">
        <f t="shared" si="0"/>
        <v>127.57467175698507</v>
      </c>
      <c r="H43" s="11">
        <v>26706.25</v>
      </c>
      <c r="I43" s="14">
        <f t="shared" si="3"/>
        <v>90.921331621098616</v>
      </c>
      <c r="J43" s="11">
        <v>32966.699999999997</v>
      </c>
      <c r="K43" s="14">
        <f t="shared" si="4"/>
        <v>123.44189094313127</v>
      </c>
      <c r="L43" s="11">
        <v>27851.7</v>
      </c>
      <c r="M43" s="11">
        <f t="shared" si="5"/>
        <v>84.484343291867262</v>
      </c>
      <c r="N43" s="11">
        <v>34589.800000000003</v>
      </c>
      <c r="O43" s="11">
        <f t="shared" si="6"/>
        <v>124.19277817871081</v>
      </c>
      <c r="P43" s="11">
        <v>32168.9</v>
      </c>
      <c r="Q43" s="11">
        <f t="shared" si="7"/>
        <v>93.001115935911741</v>
      </c>
      <c r="R43" s="11">
        <f t="shared" si="8"/>
        <v>118.34937990456676</v>
      </c>
      <c r="S43" s="11">
        <v>12335.7</v>
      </c>
      <c r="T43" s="11">
        <v>13285.7</v>
      </c>
      <c r="U43" s="14">
        <f t="shared" si="9"/>
        <v>107.70122490008673</v>
      </c>
      <c r="V43" s="11">
        <v>15891.67</v>
      </c>
      <c r="W43" s="14">
        <f t="shared" si="10"/>
        <v>119.61484904822477</v>
      </c>
      <c r="X43" s="11">
        <v>15633.96</v>
      </c>
      <c r="Y43" s="14">
        <f t="shared" si="11"/>
        <v>98.378332799510687</v>
      </c>
      <c r="Z43" s="11">
        <v>17481.8</v>
      </c>
      <c r="AA43" s="14">
        <f t="shared" si="12"/>
        <v>111.81939828424787</v>
      </c>
      <c r="AB43" s="11">
        <v>18803.2</v>
      </c>
      <c r="AC43" s="14">
        <f t="shared" si="13"/>
        <v>107.55871820979534</v>
      </c>
      <c r="AD43" s="11">
        <v>22759.1</v>
      </c>
      <c r="AE43" s="14">
        <f t="shared" si="14"/>
        <v>121.03844026548671</v>
      </c>
      <c r="AF43" s="11">
        <v>24728.3</v>
      </c>
      <c r="AG43" s="14">
        <f t="shared" si="15"/>
        <v>108.65236323053196</v>
      </c>
      <c r="AH43" s="14">
        <f t="shared" si="16"/>
        <v>90.975413243663837</v>
      </c>
      <c r="AI43" s="11">
        <v>7676.5</v>
      </c>
      <c r="AJ43" s="11">
        <v>9004</v>
      </c>
      <c r="AK43" s="14">
        <f t="shared" si="17"/>
        <v>117.29303719142838</v>
      </c>
      <c r="AL43" s="11">
        <v>10525.44</v>
      </c>
      <c r="AM43" s="14">
        <f t="shared" si="18"/>
        <v>116.89737894269214</v>
      </c>
      <c r="AN43" s="11">
        <v>10595.83</v>
      </c>
      <c r="AO43" s="14">
        <f t="shared" si="19"/>
        <v>100.66876064088532</v>
      </c>
      <c r="AP43" s="11">
        <v>10634.9</v>
      </c>
      <c r="AQ43" s="14">
        <f t="shared" si="20"/>
        <v>100.36872996263624</v>
      </c>
      <c r="AR43" s="11">
        <v>13444.4</v>
      </c>
      <c r="AS43" s="14">
        <f t="shared" si="21"/>
        <v>126.41773782546146</v>
      </c>
      <c r="AT43" s="11">
        <v>0</v>
      </c>
      <c r="AU43" s="14">
        <f t="shared" si="22"/>
        <v>0</v>
      </c>
      <c r="AV43" s="11">
        <v>0</v>
      </c>
      <c r="AW43" s="14" t="e">
        <f t="shared" si="23"/>
        <v>#DIV/0!</v>
      </c>
      <c r="AX43" s="14">
        <f t="shared" si="24"/>
        <v>0</v>
      </c>
      <c r="AY43" s="11">
        <v>12427.3</v>
      </c>
      <c r="AZ43" s="11">
        <v>12896.2</v>
      </c>
      <c r="BA43" s="14">
        <f t="shared" si="25"/>
        <v>103.77314460904623</v>
      </c>
      <c r="BB43" s="11">
        <v>14011.81</v>
      </c>
      <c r="BC43" s="14">
        <f t="shared" si="26"/>
        <v>108.65068779950681</v>
      </c>
      <c r="BD43" s="11">
        <v>14313.19</v>
      </c>
      <c r="BE43" s="14">
        <f t="shared" si="27"/>
        <v>102.15089984805677</v>
      </c>
      <c r="BF43" s="11">
        <v>14310.9</v>
      </c>
      <c r="BG43" s="14">
        <f t="shared" si="28"/>
        <v>99.984000771316516</v>
      </c>
      <c r="BH43" s="11">
        <v>14343.5</v>
      </c>
      <c r="BI43" s="14">
        <f t="shared" si="29"/>
        <v>100.2277983914359</v>
      </c>
      <c r="BJ43" s="11">
        <f>4873.8/26.4/12*1000</f>
        <v>15384.469696969698</v>
      </c>
      <c r="BK43" s="14">
        <f t="shared" si="30"/>
        <v>107.25743156809496</v>
      </c>
      <c r="BL43" s="11">
        <f>1279.4/25.5/3*1000</f>
        <v>16724.18300653595</v>
      </c>
      <c r="BM43" s="14">
        <f t="shared" si="31"/>
        <v>108.70821897637548</v>
      </c>
      <c r="BN43" s="14">
        <f t="shared" si="32"/>
        <v>134.57615899299086</v>
      </c>
      <c r="BO43" s="11">
        <v>12601.04</v>
      </c>
      <c r="BP43" s="11">
        <v>15157.29</v>
      </c>
      <c r="BQ43" s="14">
        <f t="shared" si="33"/>
        <v>120.28602401071657</v>
      </c>
      <c r="BR43" s="11">
        <v>15648.15</v>
      </c>
      <c r="BS43" s="14">
        <f t="shared" si="34"/>
        <v>103.23844170033031</v>
      </c>
      <c r="BT43" s="11">
        <v>15430.56</v>
      </c>
      <c r="BU43" s="14">
        <f t="shared" si="35"/>
        <v>98.60948418822673</v>
      </c>
      <c r="BV43" s="11">
        <v>17235.419999999998</v>
      </c>
      <c r="BW43" s="14">
        <f t="shared" si="36"/>
        <v>111.69665909727189</v>
      </c>
      <c r="BX43" s="11">
        <v>16580</v>
      </c>
      <c r="BY43" s="14">
        <f t="shared" si="37"/>
        <v>96.197249617357755</v>
      </c>
      <c r="BZ43" s="11">
        <v>18484.72</v>
      </c>
      <c r="CA43" s="14">
        <f t="shared" si="38"/>
        <v>111.48805790108565</v>
      </c>
      <c r="CB43" s="11">
        <v>16594.439999999999</v>
      </c>
      <c r="CC43" s="14">
        <f t="shared" si="39"/>
        <v>89.773824001661893</v>
      </c>
      <c r="CD43" s="20">
        <f t="shared" si="1"/>
        <v>131.69103502568041</v>
      </c>
    </row>
    <row r="44" spans="1:82" ht="25.5">
      <c r="A44" s="35">
        <f t="shared" si="40"/>
        <v>40</v>
      </c>
      <c r="B44" s="7" t="s">
        <v>47</v>
      </c>
      <c r="C44" s="11">
        <v>28467.599999999999</v>
      </c>
      <c r="D44" s="11">
        <v>34245.4</v>
      </c>
      <c r="E44" s="14">
        <f t="shared" si="41"/>
        <v>120.29605586702077</v>
      </c>
      <c r="F44" s="11">
        <v>35705.56</v>
      </c>
      <c r="G44" s="18">
        <f t="shared" si="0"/>
        <v>104.26381353408047</v>
      </c>
      <c r="H44" s="11">
        <v>28994.79</v>
      </c>
      <c r="I44" s="14">
        <f t="shared" si="3"/>
        <v>81.205252067185057</v>
      </c>
      <c r="J44" s="11">
        <v>34619.4</v>
      </c>
      <c r="K44" s="14">
        <f t="shared" si="4"/>
        <v>119.39869197190254</v>
      </c>
      <c r="L44" s="11">
        <v>36731.199999999997</v>
      </c>
      <c r="M44" s="11">
        <f t="shared" si="5"/>
        <v>106.10004794999335</v>
      </c>
      <c r="N44" s="11">
        <v>43181.7</v>
      </c>
      <c r="O44" s="11">
        <f t="shared" si="6"/>
        <v>117.5613647253561</v>
      </c>
      <c r="P44" s="11">
        <v>43353.3</v>
      </c>
      <c r="Q44" s="11">
        <f t="shared" si="7"/>
        <v>100.39739056127945</v>
      </c>
      <c r="R44" s="11">
        <f t="shared" si="8"/>
        <v>152.28997175736629</v>
      </c>
      <c r="S44" s="11">
        <v>9792.1</v>
      </c>
      <c r="T44" s="11">
        <v>11838.4</v>
      </c>
      <c r="U44" s="14">
        <f t="shared" si="9"/>
        <v>120.89745815504334</v>
      </c>
      <c r="V44" s="11">
        <v>13346.2</v>
      </c>
      <c r="W44" s="14">
        <f t="shared" si="10"/>
        <v>112.736518448439</v>
      </c>
      <c r="X44" s="11">
        <v>14069.57</v>
      </c>
      <c r="Y44" s="14">
        <f t="shared" si="11"/>
        <v>105.42004465690609</v>
      </c>
      <c r="Z44" s="11">
        <v>16937</v>
      </c>
      <c r="AA44" s="14">
        <f t="shared" si="12"/>
        <v>120.38036699060454</v>
      </c>
      <c r="AB44" s="11">
        <v>16843.2</v>
      </c>
      <c r="AC44" s="14">
        <f t="shared" si="13"/>
        <v>99.446182913148732</v>
      </c>
      <c r="AD44" s="11">
        <v>20066.2</v>
      </c>
      <c r="AE44" s="14">
        <f t="shared" si="14"/>
        <v>119.13531870428422</v>
      </c>
      <c r="AF44" s="11">
        <v>23527.1</v>
      </c>
      <c r="AG44" s="14">
        <f t="shared" si="15"/>
        <v>117.24741106936041</v>
      </c>
      <c r="AH44" s="14">
        <f t="shared" si="16"/>
        <v>82.645182593544945</v>
      </c>
      <c r="AI44" s="11">
        <v>5959.5</v>
      </c>
      <c r="AJ44" s="11">
        <v>8537.7000000000007</v>
      </c>
      <c r="AK44" s="14">
        <f t="shared" si="17"/>
        <v>143.26201862572364</v>
      </c>
      <c r="AL44" s="11">
        <v>9834.1299999999992</v>
      </c>
      <c r="AM44" s="14">
        <f t="shared" si="18"/>
        <v>115.1847687316256</v>
      </c>
      <c r="AN44" s="11">
        <v>11225.73</v>
      </c>
      <c r="AO44" s="14">
        <f t="shared" si="19"/>
        <v>114.15071795878234</v>
      </c>
      <c r="AP44" s="11">
        <v>10884</v>
      </c>
      <c r="AQ44" s="14">
        <f t="shared" si="20"/>
        <v>96.955832716446949</v>
      </c>
      <c r="AR44" s="11">
        <v>10817.8</v>
      </c>
      <c r="AS44" s="14">
        <f t="shared" si="21"/>
        <v>99.391767732451299</v>
      </c>
      <c r="AT44" s="11">
        <v>0</v>
      </c>
      <c r="AU44" s="14">
        <f t="shared" si="22"/>
        <v>0</v>
      </c>
      <c r="AV44" s="11">
        <v>0</v>
      </c>
      <c r="AW44" s="14" t="e">
        <f t="shared" si="23"/>
        <v>#DIV/0!</v>
      </c>
      <c r="AX44" s="14">
        <f t="shared" si="24"/>
        <v>0</v>
      </c>
      <c r="AY44" s="11">
        <v>10631.4</v>
      </c>
      <c r="AZ44" s="11">
        <v>9126</v>
      </c>
      <c r="BA44" s="14">
        <f t="shared" si="25"/>
        <v>85.840058694057234</v>
      </c>
      <c r="BB44" s="11">
        <v>12316.7</v>
      </c>
      <c r="BC44" s="14">
        <f t="shared" si="26"/>
        <v>134.96274380889764</v>
      </c>
      <c r="BD44" s="11">
        <v>11352.33</v>
      </c>
      <c r="BE44" s="14">
        <f t="shared" si="27"/>
        <v>92.170224167187627</v>
      </c>
      <c r="BF44" s="11">
        <v>12687.3</v>
      </c>
      <c r="BG44" s="14">
        <f t="shared" si="28"/>
        <v>111.75943616861031</v>
      </c>
      <c r="BH44" s="11">
        <v>12826.1</v>
      </c>
      <c r="BI44" s="14">
        <f t="shared" si="29"/>
        <v>101.09400739322001</v>
      </c>
      <c r="BJ44" s="11">
        <f>6574.5/38.6/12*1000</f>
        <v>14193.652849740934</v>
      </c>
      <c r="BK44" s="14">
        <f t="shared" si="30"/>
        <v>110.6622656126253</v>
      </c>
      <c r="BL44" s="11">
        <f>1799.8/40.3/3*1000</f>
        <v>14886.683209263856</v>
      </c>
      <c r="BM44" s="14">
        <f t="shared" si="31"/>
        <v>104.88267796077295</v>
      </c>
      <c r="BN44" s="14">
        <f t="shared" si="32"/>
        <v>140.0256147757008</v>
      </c>
      <c r="BO44" s="11">
        <v>12125</v>
      </c>
      <c r="BP44" s="11">
        <v>12957.95</v>
      </c>
      <c r="BQ44" s="14">
        <f t="shared" si="33"/>
        <v>106.86969072164949</v>
      </c>
      <c r="BR44" s="11">
        <v>15674.35</v>
      </c>
      <c r="BS44" s="14">
        <f t="shared" si="34"/>
        <v>120.96319248029201</v>
      </c>
      <c r="BT44" s="11">
        <v>16372.87</v>
      </c>
      <c r="BU44" s="14">
        <f t="shared" si="35"/>
        <v>104.45645273966704</v>
      </c>
      <c r="BV44" s="11">
        <v>17075.830000000002</v>
      </c>
      <c r="BW44" s="14">
        <f t="shared" si="36"/>
        <v>104.29344397164333</v>
      </c>
      <c r="BX44" s="11">
        <v>16656.169999999998</v>
      </c>
      <c r="BY44" s="14">
        <f t="shared" si="37"/>
        <v>97.542374221340893</v>
      </c>
      <c r="BZ44" s="11">
        <v>18011.169999999998</v>
      </c>
      <c r="CA44" s="14">
        <f t="shared" si="38"/>
        <v>108.13512350078078</v>
      </c>
      <c r="CB44" s="11">
        <v>18278</v>
      </c>
      <c r="CC44" s="14">
        <f t="shared" si="39"/>
        <v>101.48146955472632</v>
      </c>
      <c r="CD44" s="20">
        <f t="shared" si="1"/>
        <v>150.74639175257732</v>
      </c>
    </row>
    <row r="45" spans="1:82" ht="38.25">
      <c r="A45" s="35">
        <f t="shared" si="40"/>
        <v>41</v>
      </c>
      <c r="B45" s="7" t="s">
        <v>48</v>
      </c>
      <c r="C45" s="11">
        <v>33135.300000000003</v>
      </c>
      <c r="D45" s="11">
        <v>33652.400000000001</v>
      </c>
      <c r="E45" s="14">
        <f t="shared" si="41"/>
        <v>101.56057135441658</v>
      </c>
      <c r="F45" s="11">
        <v>34931.94</v>
      </c>
      <c r="G45" s="18">
        <f t="shared" si="0"/>
        <v>103.80222510133008</v>
      </c>
      <c r="H45" s="11">
        <v>36284.85</v>
      </c>
      <c r="I45" s="14">
        <f t="shared" si="3"/>
        <v>103.8729884455315</v>
      </c>
      <c r="J45" s="11">
        <v>40514.9</v>
      </c>
      <c r="K45" s="14">
        <f t="shared" si="4"/>
        <v>111.65789578846268</v>
      </c>
      <c r="L45" s="11">
        <v>37807.800000000003</v>
      </c>
      <c r="M45" s="11">
        <f t="shared" si="5"/>
        <v>93.318260689277281</v>
      </c>
      <c r="N45" s="11">
        <v>47976.3</v>
      </c>
      <c r="O45" s="11">
        <f t="shared" si="6"/>
        <v>126.89524383857298</v>
      </c>
      <c r="P45" s="11">
        <v>48939</v>
      </c>
      <c r="Q45" s="11">
        <f t="shared" si="7"/>
        <v>102.00661576653471</v>
      </c>
      <c r="R45" s="11">
        <f t="shared" si="8"/>
        <v>147.69445274375062</v>
      </c>
      <c r="S45" s="11">
        <v>11904.6</v>
      </c>
      <c r="T45" s="11">
        <v>12596.6</v>
      </c>
      <c r="U45" s="14">
        <f t="shared" si="9"/>
        <v>105.81287905515515</v>
      </c>
      <c r="V45" s="11">
        <v>15869.17</v>
      </c>
      <c r="W45" s="14">
        <f t="shared" si="10"/>
        <v>125.97978819681501</v>
      </c>
      <c r="X45" s="11">
        <v>15775.61</v>
      </c>
      <c r="Y45" s="14">
        <f t="shared" si="11"/>
        <v>99.410429152879459</v>
      </c>
      <c r="Z45" s="11">
        <v>17429.7</v>
      </c>
      <c r="AA45" s="14">
        <f t="shared" si="12"/>
        <v>110.48510960907376</v>
      </c>
      <c r="AB45" s="11">
        <v>18691.5</v>
      </c>
      <c r="AC45" s="14">
        <f t="shared" si="13"/>
        <v>107.23936728687239</v>
      </c>
      <c r="AD45" s="11">
        <v>24077.3</v>
      </c>
      <c r="AE45" s="14">
        <f t="shared" si="14"/>
        <v>128.81416686729261</v>
      </c>
      <c r="AF45" s="11">
        <v>27229.1</v>
      </c>
      <c r="AG45" s="14">
        <f t="shared" si="15"/>
        <v>113.0903382023732</v>
      </c>
      <c r="AH45" s="14">
        <f t="shared" si="16"/>
        <v>82.175504673263845</v>
      </c>
      <c r="AI45" s="11">
        <v>4727.3</v>
      </c>
      <c r="AJ45" s="11">
        <v>8910.1</v>
      </c>
      <c r="AK45" s="14">
        <f t="shared" si="17"/>
        <v>188.48179722040067</v>
      </c>
      <c r="AL45" s="11">
        <v>9235.0499999999993</v>
      </c>
      <c r="AM45" s="14">
        <f t="shared" si="18"/>
        <v>103.64698488232453</v>
      </c>
      <c r="AN45" s="11">
        <v>10977.01</v>
      </c>
      <c r="AO45" s="14">
        <f t="shared" si="19"/>
        <v>118.86248585551785</v>
      </c>
      <c r="AP45" s="11">
        <v>11830.5</v>
      </c>
      <c r="AQ45" s="14">
        <f t="shared" si="20"/>
        <v>107.77525027307071</v>
      </c>
      <c r="AR45" s="11">
        <v>11906.8</v>
      </c>
      <c r="AS45" s="14">
        <f t="shared" si="21"/>
        <v>100.6449431554034</v>
      </c>
      <c r="AT45" s="11">
        <v>23191.7</v>
      </c>
      <c r="AU45" s="14">
        <f t="shared" si="22"/>
        <v>194.77693418886687</v>
      </c>
      <c r="AV45" s="11">
        <v>24233.3</v>
      </c>
      <c r="AW45" s="14">
        <f t="shared" si="23"/>
        <v>104.49126196009779</v>
      </c>
      <c r="AX45" s="14">
        <f t="shared" si="24"/>
        <v>512.624542550716</v>
      </c>
      <c r="AY45" s="11">
        <v>8146.4</v>
      </c>
      <c r="AZ45" s="11">
        <v>8965.7000000000007</v>
      </c>
      <c r="BA45" s="14">
        <f t="shared" si="25"/>
        <v>110.05720318177356</v>
      </c>
      <c r="BB45" s="11">
        <v>8964</v>
      </c>
      <c r="BC45" s="14">
        <f t="shared" si="26"/>
        <v>99.98103884805424</v>
      </c>
      <c r="BD45" s="11">
        <v>11310.42</v>
      </c>
      <c r="BE45" s="14">
        <f t="shared" si="27"/>
        <v>126.1760374832664</v>
      </c>
      <c r="BF45" s="11">
        <v>11403.4</v>
      </c>
      <c r="BG45" s="14">
        <f t="shared" si="28"/>
        <v>100.82207380450947</v>
      </c>
      <c r="BH45" s="11">
        <v>11719.1</v>
      </c>
      <c r="BI45" s="14">
        <f t="shared" si="29"/>
        <v>102.76847256081521</v>
      </c>
      <c r="BJ45" s="11">
        <f>9406/56.2/12*1000</f>
        <v>13947.212336892051</v>
      </c>
      <c r="BK45" s="14">
        <f t="shared" si="30"/>
        <v>119.01265743011025</v>
      </c>
      <c r="BL45" s="11">
        <f>2438.2/57.6/3*1000</f>
        <v>14109.953703703703</v>
      </c>
      <c r="BM45" s="14">
        <f t="shared" si="31"/>
        <v>101.16683795213457</v>
      </c>
      <c r="BN45" s="14">
        <f t="shared" si="32"/>
        <v>173.2047739333166</v>
      </c>
      <c r="BO45" s="11">
        <v>9667.42</v>
      </c>
      <c r="BP45" s="11">
        <v>9990.15</v>
      </c>
      <c r="BQ45" s="14">
        <f t="shared" si="33"/>
        <v>103.33832604769422</v>
      </c>
      <c r="BR45" s="11">
        <v>9883.33</v>
      </c>
      <c r="BS45" s="14">
        <f t="shared" si="34"/>
        <v>98.930746785583807</v>
      </c>
      <c r="BT45" s="11">
        <v>12410.42</v>
      </c>
      <c r="BU45" s="14">
        <f t="shared" si="35"/>
        <v>125.56921604358044</v>
      </c>
      <c r="BV45" s="11">
        <v>12676.39</v>
      </c>
      <c r="BW45" s="14">
        <f t="shared" si="36"/>
        <v>102.1431184440172</v>
      </c>
      <c r="BX45" s="11">
        <v>12378.51</v>
      </c>
      <c r="BY45" s="14">
        <f t="shared" si="37"/>
        <v>97.650119631851027</v>
      </c>
      <c r="BZ45" s="11">
        <v>12817.92</v>
      </c>
      <c r="CA45" s="14">
        <f t="shared" si="38"/>
        <v>103.54978103180432</v>
      </c>
      <c r="CB45" s="11">
        <v>14100</v>
      </c>
      <c r="CC45" s="14">
        <f t="shared" si="39"/>
        <v>110.00224685440384</v>
      </c>
      <c r="CD45" s="20">
        <f t="shared" si="1"/>
        <v>145.85070266937819</v>
      </c>
    </row>
    <row r="46" spans="1:82" ht="38.25">
      <c r="A46" s="35">
        <f t="shared" si="40"/>
        <v>42</v>
      </c>
      <c r="B46" s="7" t="s">
        <v>49</v>
      </c>
      <c r="C46" s="11">
        <v>33428.199999999997</v>
      </c>
      <c r="D46" s="11">
        <v>37467.199999999997</v>
      </c>
      <c r="E46" s="14">
        <f t="shared" si="41"/>
        <v>112.08261288373289</v>
      </c>
      <c r="F46" s="11">
        <v>42383.41</v>
      </c>
      <c r="G46" s="18">
        <f t="shared" si="0"/>
        <v>113.12137015843193</v>
      </c>
      <c r="H46" s="11">
        <v>41990.89</v>
      </c>
      <c r="I46" s="14">
        <f t="shared" si="3"/>
        <v>99.07388291786809</v>
      </c>
      <c r="J46" s="11">
        <v>40967.9</v>
      </c>
      <c r="K46" s="14">
        <f t="shared" si="4"/>
        <v>97.563781096328285</v>
      </c>
      <c r="L46" s="11">
        <v>42439.9</v>
      </c>
      <c r="M46" s="11">
        <f t="shared" si="5"/>
        <v>103.5930570031659</v>
      </c>
      <c r="N46" s="11">
        <v>50195.199999999997</v>
      </c>
      <c r="O46" s="11">
        <f t="shared" si="6"/>
        <v>118.27360573422652</v>
      </c>
      <c r="P46" s="11">
        <v>56649.8</v>
      </c>
      <c r="Q46" s="11">
        <f t="shared" si="7"/>
        <v>112.85899846997323</v>
      </c>
      <c r="R46" s="11">
        <f t="shared" si="8"/>
        <v>169.46709664295417</v>
      </c>
      <c r="S46" s="11">
        <v>12759.8</v>
      </c>
      <c r="T46" s="11">
        <v>14551.3</v>
      </c>
      <c r="U46" s="14">
        <f t="shared" si="9"/>
        <v>114.04018871769151</v>
      </c>
      <c r="V46" s="11">
        <v>16676.349999999999</v>
      </c>
      <c r="W46" s="14">
        <f t="shared" si="10"/>
        <v>114.60384982785044</v>
      </c>
      <c r="X46" s="11">
        <v>17351.45</v>
      </c>
      <c r="Y46" s="14">
        <f t="shared" si="11"/>
        <v>104.04824796793064</v>
      </c>
      <c r="Z46" s="11">
        <v>17979.099999999999</v>
      </c>
      <c r="AA46" s="14">
        <f t="shared" si="12"/>
        <v>103.61727694227282</v>
      </c>
      <c r="AB46" s="11">
        <v>18811.400000000001</v>
      </c>
      <c r="AC46" s="14">
        <f t="shared" si="13"/>
        <v>104.62926397873088</v>
      </c>
      <c r="AD46" s="11">
        <v>24479.599999999999</v>
      </c>
      <c r="AE46" s="14">
        <f t="shared" si="14"/>
        <v>130.13172863263765</v>
      </c>
      <c r="AF46" s="11">
        <v>26290.1</v>
      </c>
      <c r="AG46" s="14">
        <f t="shared" si="15"/>
        <v>107.3959541822579</v>
      </c>
      <c r="AH46" s="14">
        <f t="shared" si="16"/>
        <v>78.646472140288736</v>
      </c>
      <c r="AI46" s="11">
        <v>7559.4</v>
      </c>
      <c r="AJ46" s="11">
        <v>10200</v>
      </c>
      <c r="AK46" s="14">
        <f t="shared" si="17"/>
        <v>134.93134375744106</v>
      </c>
      <c r="AL46" s="11">
        <v>10295.01</v>
      </c>
      <c r="AM46" s="14">
        <f t="shared" si="18"/>
        <v>100.9314705882353</v>
      </c>
      <c r="AN46" s="11">
        <v>10214.42</v>
      </c>
      <c r="AO46" s="14">
        <f t="shared" si="19"/>
        <v>99.217193572420044</v>
      </c>
      <c r="AP46" s="11">
        <v>11001.4</v>
      </c>
      <c r="AQ46" s="14">
        <f t="shared" si="20"/>
        <v>107.70459800948072</v>
      </c>
      <c r="AR46" s="11">
        <v>12144.3</v>
      </c>
      <c r="AS46" s="14">
        <f t="shared" si="21"/>
        <v>110.38867780464304</v>
      </c>
      <c r="AT46" s="11">
        <v>24448.5</v>
      </c>
      <c r="AU46" s="14">
        <f t="shared" si="22"/>
        <v>201.31666707838244</v>
      </c>
      <c r="AV46" s="11">
        <v>24551.3</v>
      </c>
      <c r="AW46" s="14">
        <f t="shared" si="23"/>
        <v>100.42047569380534</v>
      </c>
      <c r="AX46" s="14">
        <f t="shared" si="24"/>
        <v>324.77842156784931</v>
      </c>
      <c r="AY46" s="11">
        <v>10465.200000000001</v>
      </c>
      <c r="AZ46" s="11">
        <v>18084.2</v>
      </c>
      <c r="BA46" s="14">
        <f t="shared" si="25"/>
        <v>172.80319535221494</v>
      </c>
      <c r="BB46" s="11">
        <v>15663.8</v>
      </c>
      <c r="BC46" s="14">
        <f t="shared" si="26"/>
        <v>86.615940987160059</v>
      </c>
      <c r="BD46" s="11">
        <v>15650</v>
      </c>
      <c r="BE46" s="14">
        <f t="shared" si="27"/>
        <v>99.911898772966978</v>
      </c>
      <c r="BF46" s="11">
        <v>14376.2</v>
      </c>
      <c r="BG46" s="14">
        <f t="shared" si="28"/>
        <v>91.860702875399369</v>
      </c>
      <c r="BH46" s="11">
        <v>13178.2</v>
      </c>
      <c r="BI46" s="14">
        <f t="shared" si="29"/>
        <v>91.666782599017822</v>
      </c>
      <c r="BJ46" s="11">
        <f>41055.6/267.3/12*1000</f>
        <v>12799.476243920686</v>
      </c>
      <c r="BK46" s="14">
        <f t="shared" si="30"/>
        <v>97.126134403186214</v>
      </c>
      <c r="BL46" s="11">
        <f>10530.3/266.2/3*1000</f>
        <v>13185.95041322314</v>
      </c>
      <c r="BM46" s="14">
        <f t="shared" si="31"/>
        <v>103.01945299899296</v>
      </c>
      <c r="BN46" s="14">
        <f t="shared" si="32"/>
        <v>125.9980737417645</v>
      </c>
      <c r="BO46" s="11">
        <v>24329.33</v>
      </c>
      <c r="BP46" s="11">
        <v>25563.14</v>
      </c>
      <c r="BQ46" s="14">
        <f t="shared" si="33"/>
        <v>105.07128638560945</v>
      </c>
      <c r="BR46" s="11">
        <v>26741.67</v>
      </c>
      <c r="BS46" s="14">
        <f t="shared" si="34"/>
        <v>104.61027088221554</v>
      </c>
      <c r="BT46" s="11">
        <v>26518.06</v>
      </c>
      <c r="BU46" s="14">
        <f t="shared" si="35"/>
        <v>99.163814376589059</v>
      </c>
      <c r="BV46" s="11">
        <v>23653.06</v>
      </c>
      <c r="BW46" s="14">
        <f t="shared" si="36"/>
        <v>89.196042244417583</v>
      </c>
      <c r="BX46" s="11">
        <v>27366.95</v>
      </c>
      <c r="BY46" s="14">
        <f t="shared" si="37"/>
        <v>115.70152022613564</v>
      </c>
      <c r="BZ46" s="11">
        <v>30332.15</v>
      </c>
      <c r="CA46" s="14">
        <f t="shared" si="38"/>
        <v>110.83496699486059</v>
      </c>
      <c r="CB46" s="11">
        <v>27695.7</v>
      </c>
      <c r="CC46" s="14">
        <f t="shared" si="39"/>
        <v>91.308067512523834</v>
      </c>
      <c r="CD46" s="20">
        <f t="shared" si="1"/>
        <v>113.83667367740911</v>
      </c>
    </row>
    <row r="47" spans="1:82" ht="38.25">
      <c r="A47" s="35">
        <f t="shared" si="40"/>
        <v>43</v>
      </c>
      <c r="B47" s="7" t="s">
        <v>50</v>
      </c>
      <c r="C47" s="11">
        <v>38460</v>
      </c>
      <c r="D47" s="11">
        <v>39110</v>
      </c>
      <c r="E47" s="14">
        <f t="shared" si="41"/>
        <v>101.69006760270412</v>
      </c>
      <c r="F47" s="11">
        <v>38352.080000000002</v>
      </c>
      <c r="G47" s="18">
        <f t="shared" si="0"/>
        <v>98.062081309128104</v>
      </c>
      <c r="H47" s="11">
        <v>34981.67</v>
      </c>
      <c r="I47" s="14">
        <f t="shared" si="3"/>
        <v>91.211923838289849</v>
      </c>
      <c r="J47" s="11">
        <v>37513.300000000003</v>
      </c>
      <c r="K47" s="14">
        <f t="shared" si="4"/>
        <v>107.23701870150855</v>
      </c>
      <c r="L47" s="11">
        <v>47969.1</v>
      </c>
      <c r="M47" s="11">
        <f t="shared" si="5"/>
        <v>127.87224797605114</v>
      </c>
      <c r="N47" s="11">
        <v>57421.9</v>
      </c>
      <c r="O47" s="11">
        <f t="shared" si="6"/>
        <v>119.70601908311809</v>
      </c>
      <c r="P47" s="11">
        <v>38333.300000000003</v>
      </c>
      <c r="Q47" s="11">
        <f t="shared" si="7"/>
        <v>66.757282500230758</v>
      </c>
      <c r="R47" s="11">
        <f t="shared" si="8"/>
        <v>99.67056682267291</v>
      </c>
      <c r="S47" s="11">
        <v>16423.900000000001</v>
      </c>
      <c r="T47" s="11">
        <v>16978.599999999999</v>
      </c>
      <c r="U47" s="14">
        <f t="shared" si="9"/>
        <v>103.37739513757388</v>
      </c>
      <c r="V47" s="11">
        <v>16276.89</v>
      </c>
      <c r="W47" s="14">
        <f t="shared" si="10"/>
        <v>95.867091515201494</v>
      </c>
      <c r="X47" s="11">
        <v>17090.53</v>
      </c>
      <c r="Y47" s="14">
        <f t="shared" si="11"/>
        <v>104.99874361748466</v>
      </c>
      <c r="Z47" s="11">
        <v>18372.7</v>
      </c>
      <c r="AA47" s="14">
        <f t="shared" si="12"/>
        <v>107.50222491637183</v>
      </c>
      <c r="AB47" s="11">
        <v>19129.2</v>
      </c>
      <c r="AC47" s="14">
        <f t="shared" si="13"/>
        <v>104.11752219325412</v>
      </c>
      <c r="AD47" s="11">
        <v>24367</v>
      </c>
      <c r="AE47" s="14">
        <f t="shared" si="14"/>
        <v>127.3811764213872</v>
      </c>
      <c r="AF47" s="11">
        <v>24432.9</v>
      </c>
      <c r="AG47" s="14">
        <f t="shared" si="15"/>
        <v>100.27044773669307</v>
      </c>
      <c r="AH47" s="14">
        <f t="shared" si="16"/>
        <v>63.528081123244931</v>
      </c>
      <c r="AI47" s="11">
        <v>6736.4</v>
      </c>
      <c r="AJ47" s="11">
        <v>10040.700000000001</v>
      </c>
      <c r="AK47" s="14">
        <f t="shared" si="17"/>
        <v>149.05142212457693</v>
      </c>
      <c r="AL47" s="11">
        <v>9544.36</v>
      </c>
      <c r="AM47" s="14">
        <f t="shared" si="18"/>
        <v>95.056719153047098</v>
      </c>
      <c r="AN47" s="11">
        <v>8768.2900000000009</v>
      </c>
      <c r="AO47" s="14">
        <f t="shared" si="19"/>
        <v>91.868810480744656</v>
      </c>
      <c r="AP47" s="11">
        <v>9813.6</v>
      </c>
      <c r="AQ47" s="14">
        <f t="shared" si="20"/>
        <v>111.92148069920131</v>
      </c>
      <c r="AR47" s="11">
        <v>12791.1</v>
      </c>
      <c r="AS47" s="14">
        <f t="shared" si="21"/>
        <v>130.34054781120079</v>
      </c>
      <c r="AT47" s="11">
        <v>24372.2</v>
      </c>
      <c r="AU47" s="14">
        <f t="shared" si="22"/>
        <v>190.54029755064067</v>
      </c>
      <c r="AV47" s="11">
        <v>24503</v>
      </c>
      <c r="AW47" s="14">
        <f t="shared" si="23"/>
        <v>100.53667703366951</v>
      </c>
      <c r="AX47" s="14">
        <f t="shared" si="24"/>
        <v>363.7402767056588</v>
      </c>
      <c r="AY47" s="11">
        <v>11878.2</v>
      </c>
      <c r="AZ47" s="11">
        <v>13153.3</v>
      </c>
      <c r="BA47" s="14">
        <f t="shared" si="25"/>
        <v>110.73479146672054</v>
      </c>
      <c r="BB47" s="11">
        <v>12053.43</v>
      </c>
      <c r="BC47" s="14">
        <f t="shared" si="26"/>
        <v>91.638068013350278</v>
      </c>
      <c r="BD47" s="11">
        <v>12504.69</v>
      </c>
      <c r="BE47" s="14">
        <f t="shared" si="27"/>
        <v>103.74383059427899</v>
      </c>
      <c r="BF47" s="11">
        <v>11201.4</v>
      </c>
      <c r="BG47" s="14">
        <f t="shared" si="28"/>
        <v>89.57759048804887</v>
      </c>
      <c r="BH47" s="11">
        <v>13015.5</v>
      </c>
      <c r="BI47" s="14">
        <f t="shared" si="29"/>
        <v>116.19529701644437</v>
      </c>
      <c r="BJ47" s="11">
        <f>3266.9/16.6/12*1000</f>
        <v>16400.100401606425</v>
      </c>
      <c r="BK47" s="14">
        <f t="shared" si="30"/>
        <v>126.00438247940092</v>
      </c>
      <c r="BL47" s="11">
        <f>798.9/16.7/3*1000</f>
        <v>15946.107784431137</v>
      </c>
      <c r="BM47" s="14">
        <f t="shared" si="31"/>
        <v>97.231769281541602</v>
      </c>
      <c r="BN47" s="14">
        <f t="shared" si="32"/>
        <v>134.24683693178375</v>
      </c>
      <c r="BO47" s="11">
        <v>13477.38</v>
      </c>
      <c r="BP47" s="11">
        <v>16279.76</v>
      </c>
      <c r="BQ47" s="14">
        <f t="shared" si="33"/>
        <v>120.79321054982498</v>
      </c>
      <c r="BR47" s="11">
        <v>16975</v>
      </c>
      <c r="BS47" s="14">
        <f t="shared" si="34"/>
        <v>104.27057892745349</v>
      </c>
      <c r="BT47" s="11">
        <v>17851.38</v>
      </c>
      <c r="BU47" s="14">
        <f t="shared" si="35"/>
        <v>105.16276877761415</v>
      </c>
      <c r="BV47" s="11">
        <v>15526.04</v>
      </c>
      <c r="BW47" s="14">
        <f t="shared" si="36"/>
        <v>86.973892214495464</v>
      </c>
      <c r="BX47" s="11">
        <v>16589.46</v>
      </c>
      <c r="BY47" s="14">
        <f t="shared" si="37"/>
        <v>106.84926742427558</v>
      </c>
      <c r="BZ47" s="11">
        <v>17586.11</v>
      </c>
      <c r="CA47" s="14">
        <f t="shared" si="38"/>
        <v>106.00773020942214</v>
      </c>
      <c r="CB47" s="11">
        <v>18355.560000000001</v>
      </c>
      <c r="CC47" s="14">
        <f t="shared" si="39"/>
        <v>104.37532802876817</v>
      </c>
      <c r="CD47" s="20">
        <f t="shared" si="1"/>
        <v>136.19531392600047</v>
      </c>
    </row>
    <row r="48" spans="1:82" ht="51">
      <c r="A48" s="35">
        <f t="shared" si="40"/>
        <v>44</v>
      </c>
      <c r="B48" s="7" t="s">
        <v>51</v>
      </c>
      <c r="C48" s="11">
        <v>22412</v>
      </c>
      <c r="D48" s="11">
        <v>23586.1</v>
      </c>
      <c r="E48" s="14">
        <f t="shared" si="41"/>
        <v>105.23871140460469</v>
      </c>
      <c r="F48" s="11">
        <v>34045.83</v>
      </c>
      <c r="G48" s="18">
        <f t="shared" si="0"/>
        <v>144.34700946744059</v>
      </c>
      <c r="H48" s="11">
        <v>21802.080000000002</v>
      </c>
      <c r="I48" s="14">
        <f t="shared" si="3"/>
        <v>64.037445995588897</v>
      </c>
      <c r="J48" s="11">
        <v>25311.599999999999</v>
      </c>
      <c r="K48" s="14">
        <f t="shared" si="4"/>
        <v>116.09717971863233</v>
      </c>
      <c r="L48" s="11">
        <v>37100</v>
      </c>
      <c r="M48" s="11">
        <f t="shared" si="5"/>
        <v>146.5731127230203</v>
      </c>
      <c r="N48" s="11">
        <v>48700</v>
      </c>
      <c r="O48" s="11">
        <f t="shared" si="6"/>
        <v>131.26684636118597</v>
      </c>
      <c r="P48" s="11">
        <v>59866.7</v>
      </c>
      <c r="Q48" s="11">
        <f t="shared" si="7"/>
        <v>122.92956878850103</v>
      </c>
      <c r="R48" s="11">
        <f t="shared" si="8"/>
        <v>267.11895413171516</v>
      </c>
      <c r="S48" s="11">
        <v>11571.9</v>
      </c>
      <c r="T48" s="11">
        <v>17245</v>
      </c>
      <c r="U48" s="14">
        <f t="shared" si="9"/>
        <v>149.02479281708275</v>
      </c>
      <c r="V48" s="11">
        <v>12308.33</v>
      </c>
      <c r="W48" s="14">
        <f t="shared" si="10"/>
        <v>71.373325601623662</v>
      </c>
      <c r="X48" s="11">
        <v>18416.669999999998</v>
      </c>
      <c r="Y48" s="14">
        <f t="shared" si="11"/>
        <v>149.62769116525149</v>
      </c>
      <c r="Z48" s="11">
        <v>15875</v>
      </c>
      <c r="AA48" s="14">
        <f t="shared" si="12"/>
        <v>86.199079420981107</v>
      </c>
      <c r="AB48" s="11">
        <v>15500</v>
      </c>
      <c r="AC48" s="14">
        <f t="shared" si="13"/>
        <v>97.637795275590548</v>
      </c>
      <c r="AD48" s="11">
        <v>19316.7</v>
      </c>
      <c r="AE48" s="14">
        <f t="shared" si="14"/>
        <v>124.62387096774195</v>
      </c>
      <c r="AF48" s="11">
        <v>28400</v>
      </c>
      <c r="AG48" s="14">
        <f t="shared" si="15"/>
        <v>147.02304223806345</v>
      </c>
      <c r="AH48" s="14">
        <f t="shared" si="16"/>
        <v>126.71782973407105</v>
      </c>
      <c r="AI48" s="11">
        <v>0</v>
      </c>
      <c r="AJ48" s="11">
        <v>0</v>
      </c>
      <c r="AK48" s="14" t="e">
        <f t="shared" si="17"/>
        <v>#DIV/0!</v>
      </c>
      <c r="AL48" s="11">
        <v>0</v>
      </c>
      <c r="AM48" s="14" t="e">
        <f t="shared" si="18"/>
        <v>#DIV/0!</v>
      </c>
      <c r="AN48" s="11">
        <v>0</v>
      </c>
      <c r="AO48" s="14" t="e">
        <f t="shared" si="19"/>
        <v>#DIV/0!</v>
      </c>
      <c r="AP48" s="11">
        <v>0</v>
      </c>
      <c r="AQ48" s="14" t="e">
        <f t="shared" si="20"/>
        <v>#DIV/0!</v>
      </c>
      <c r="AR48" s="11">
        <v>0</v>
      </c>
      <c r="AS48" s="14" t="e">
        <f t="shared" si="21"/>
        <v>#DIV/0!</v>
      </c>
      <c r="AT48" s="11">
        <v>0</v>
      </c>
      <c r="AU48" s="14" t="e">
        <f t="shared" si="22"/>
        <v>#DIV/0!</v>
      </c>
      <c r="AV48" s="11">
        <v>0</v>
      </c>
      <c r="AW48" s="14" t="e">
        <f t="shared" si="23"/>
        <v>#DIV/0!</v>
      </c>
      <c r="AX48" s="14" t="e">
        <f t="shared" si="24"/>
        <v>#DIV/0!</v>
      </c>
      <c r="AY48" s="11">
        <v>20682.599999999999</v>
      </c>
      <c r="AZ48" s="11">
        <v>19429.5</v>
      </c>
      <c r="BA48" s="14">
        <f t="shared" si="25"/>
        <v>93.941283977836449</v>
      </c>
      <c r="BB48" s="11">
        <v>18852.91</v>
      </c>
      <c r="BC48" s="14">
        <f t="shared" si="26"/>
        <v>97.032399186803573</v>
      </c>
      <c r="BD48" s="11">
        <v>16863.77</v>
      </c>
      <c r="BE48" s="14">
        <f t="shared" si="27"/>
        <v>89.449161959612596</v>
      </c>
      <c r="BF48" s="11">
        <v>17405.099999999999</v>
      </c>
      <c r="BG48" s="14">
        <f t="shared" si="28"/>
        <v>103.21001768880859</v>
      </c>
      <c r="BH48" s="11">
        <v>17791.7</v>
      </c>
      <c r="BI48" s="14">
        <f t="shared" si="29"/>
        <v>102.22118804258524</v>
      </c>
      <c r="BJ48" s="11">
        <f>8326.4/37.8/12*1000</f>
        <v>18356.261022927691</v>
      </c>
      <c r="BK48" s="14">
        <f t="shared" si="30"/>
        <v>103.1731707646132</v>
      </c>
      <c r="BL48" s="11">
        <f>2137.3/39.5/3*1000</f>
        <v>18036.286919831222</v>
      </c>
      <c r="BM48" s="14">
        <f t="shared" si="31"/>
        <v>98.256866675098991</v>
      </c>
      <c r="BN48" s="14">
        <f t="shared" si="32"/>
        <v>87.20512372637495</v>
      </c>
      <c r="BO48" s="11">
        <v>22239.68</v>
      </c>
      <c r="BP48" s="11">
        <v>21371.89</v>
      </c>
      <c r="BQ48" s="14">
        <f t="shared" si="33"/>
        <v>96.098010403027374</v>
      </c>
      <c r="BR48" s="11">
        <v>21789.26</v>
      </c>
      <c r="BS48" s="14">
        <f t="shared" si="34"/>
        <v>101.9528923272579</v>
      </c>
      <c r="BT48" s="11">
        <v>22313.74</v>
      </c>
      <c r="BU48" s="14">
        <f t="shared" si="35"/>
        <v>102.40705742186749</v>
      </c>
      <c r="BV48" s="11">
        <v>22100.240000000002</v>
      </c>
      <c r="BW48" s="14">
        <f t="shared" si="36"/>
        <v>99.043190428856846</v>
      </c>
      <c r="BX48" s="11">
        <v>23399.98</v>
      </c>
      <c r="BY48" s="14">
        <f t="shared" si="37"/>
        <v>105.88111260330204</v>
      </c>
      <c r="BZ48" s="11">
        <v>23979.13</v>
      </c>
      <c r="CA48" s="14">
        <f t="shared" si="38"/>
        <v>102.47500211538643</v>
      </c>
      <c r="CB48" s="11">
        <v>27628.03</v>
      </c>
      <c r="CC48" s="14">
        <f t="shared" si="39"/>
        <v>115.21698243430849</v>
      </c>
      <c r="CD48" s="20">
        <f t="shared" si="1"/>
        <v>124.22854105814471</v>
      </c>
    </row>
    <row r="49" spans="1:82" ht="38.25">
      <c r="A49" s="35">
        <f t="shared" si="40"/>
        <v>45</v>
      </c>
      <c r="B49" s="7" t="s">
        <v>52</v>
      </c>
      <c r="C49" s="11"/>
      <c r="D49" s="11"/>
      <c r="E49" s="14" t="e">
        <f t="shared" si="41"/>
        <v>#DIV/0!</v>
      </c>
      <c r="F49" s="11"/>
      <c r="G49" s="18" t="e">
        <f t="shared" si="0"/>
        <v>#DIV/0!</v>
      </c>
      <c r="H49" s="11"/>
      <c r="I49" s="14" t="e">
        <f>H49/F49*100</f>
        <v>#DIV/0!</v>
      </c>
      <c r="J49" s="11">
        <v>31480</v>
      </c>
      <c r="K49" s="14" t="e">
        <f t="shared" si="4"/>
        <v>#DIV/0!</v>
      </c>
      <c r="L49" s="11">
        <v>32525</v>
      </c>
      <c r="M49" s="11">
        <f t="shared" si="5"/>
        <v>103.31956797966964</v>
      </c>
      <c r="N49" s="11">
        <v>34464.300000000003</v>
      </c>
      <c r="O49" s="11">
        <f t="shared" si="6"/>
        <v>105.96249039200616</v>
      </c>
      <c r="P49" s="11">
        <v>36500</v>
      </c>
      <c r="Q49" s="11">
        <f t="shared" si="7"/>
        <v>105.90669185214846</v>
      </c>
      <c r="R49" s="11" t="e">
        <f t="shared" si="8"/>
        <v>#DIV/0!</v>
      </c>
      <c r="S49" s="11"/>
      <c r="T49" s="11"/>
      <c r="U49" s="14" t="e">
        <f t="shared" si="9"/>
        <v>#DIV/0!</v>
      </c>
      <c r="V49" s="11"/>
      <c r="W49" s="14" t="e">
        <f t="shared" si="10"/>
        <v>#DIV/0!</v>
      </c>
      <c r="X49" s="11"/>
      <c r="Y49" s="14" t="e">
        <f t="shared" si="11"/>
        <v>#DIV/0!</v>
      </c>
      <c r="Z49" s="11">
        <v>21280</v>
      </c>
      <c r="AA49" s="14" t="e">
        <f t="shared" si="12"/>
        <v>#DIV/0!</v>
      </c>
      <c r="AB49" s="11">
        <v>17597.2</v>
      </c>
      <c r="AC49" s="14">
        <f t="shared" si="13"/>
        <v>82.693609022556387</v>
      </c>
      <c r="AD49" s="11">
        <v>18555.599999999999</v>
      </c>
      <c r="AE49" s="14">
        <f t="shared" si="14"/>
        <v>105.44632100561451</v>
      </c>
      <c r="AF49" s="11">
        <v>24400</v>
      </c>
      <c r="AG49" s="14">
        <f t="shared" si="15"/>
        <v>131.49669102588976</v>
      </c>
      <c r="AH49" s="14" t="e">
        <f t="shared" si="16"/>
        <v>#DIV/0!</v>
      </c>
      <c r="AI49" s="11">
        <v>0</v>
      </c>
      <c r="AJ49" s="11">
        <v>0</v>
      </c>
      <c r="AK49" s="14" t="e">
        <f t="shared" si="17"/>
        <v>#DIV/0!</v>
      </c>
      <c r="AL49" s="11">
        <v>0</v>
      </c>
      <c r="AM49" s="14" t="e">
        <f t="shared" si="18"/>
        <v>#DIV/0!</v>
      </c>
      <c r="AN49" s="11">
        <v>0</v>
      </c>
      <c r="AO49" s="14" t="e">
        <f t="shared" si="19"/>
        <v>#DIV/0!</v>
      </c>
      <c r="AP49" s="11">
        <v>0</v>
      </c>
      <c r="AQ49" s="14" t="e">
        <f t="shared" si="20"/>
        <v>#DIV/0!</v>
      </c>
      <c r="AR49" s="11">
        <v>0</v>
      </c>
      <c r="AS49" s="14" t="e">
        <f t="shared" si="21"/>
        <v>#DIV/0!</v>
      </c>
      <c r="AT49" s="11">
        <v>0</v>
      </c>
      <c r="AU49" s="14" t="e">
        <f t="shared" si="22"/>
        <v>#DIV/0!</v>
      </c>
      <c r="AV49" s="11">
        <v>0</v>
      </c>
      <c r="AW49" s="14" t="e">
        <f t="shared" si="23"/>
        <v>#DIV/0!</v>
      </c>
      <c r="AX49" s="14" t="e">
        <f t="shared" si="24"/>
        <v>#DIV/0!</v>
      </c>
      <c r="AY49" s="11"/>
      <c r="AZ49" s="11"/>
      <c r="BA49" s="14" t="e">
        <f t="shared" si="25"/>
        <v>#DIV/0!</v>
      </c>
      <c r="BB49" s="11"/>
      <c r="BC49" s="14" t="e">
        <f t="shared" si="26"/>
        <v>#DIV/0!</v>
      </c>
      <c r="BD49" s="11"/>
      <c r="BE49" s="14" t="e">
        <f t="shared" si="27"/>
        <v>#DIV/0!</v>
      </c>
      <c r="BF49" s="11">
        <v>13004.44</v>
      </c>
      <c r="BG49" s="14" t="e">
        <f t="shared" si="28"/>
        <v>#DIV/0!</v>
      </c>
      <c r="BH49" s="11">
        <v>18472.8</v>
      </c>
      <c r="BI49" s="14">
        <f t="shared" si="29"/>
        <v>142.04994601843677</v>
      </c>
      <c r="BJ49" s="11">
        <f>1252.2/5.6/12*1000</f>
        <v>18633.928571428572</v>
      </c>
      <c r="BK49" s="14">
        <f t="shared" si="30"/>
        <v>100.87224769081338</v>
      </c>
      <c r="BL49" s="11">
        <f>417.4/8/3*1000</f>
        <v>17391.666666666664</v>
      </c>
      <c r="BM49" s="14">
        <f t="shared" si="31"/>
        <v>93.333333333333314</v>
      </c>
      <c r="BN49" s="14" t="e">
        <f t="shared" si="32"/>
        <v>#DIV/0!</v>
      </c>
      <c r="BO49" s="11"/>
      <c r="BP49" s="11"/>
      <c r="BQ49" s="14" t="e">
        <f t="shared" si="33"/>
        <v>#DIV/0!</v>
      </c>
      <c r="BR49" s="11"/>
      <c r="BS49" s="14" t="e">
        <f t="shared" si="34"/>
        <v>#DIV/0!</v>
      </c>
      <c r="BT49" s="11"/>
      <c r="BU49" s="14" t="e">
        <f t="shared" si="35"/>
        <v>#DIV/0!</v>
      </c>
      <c r="BV49" s="11">
        <v>21250</v>
      </c>
      <c r="BW49" s="14" t="e">
        <f t="shared" si="36"/>
        <v>#DIV/0!</v>
      </c>
      <c r="BX49" s="11">
        <v>21013.73</v>
      </c>
      <c r="BY49" s="14">
        <f t="shared" si="37"/>
        <v>98.888141176470583</v>
      </c>
      <c r="BZ49" s="11">
        <v>19787.439999999999</v>
      </c>
      <c r="CA49" s="14">
        <f t="shared" si="38"/>
        <v>94.164339220119402</v>
      </c>
      <c r="CB49" s="11">
        <v>18972.7</v>
      </c>
      <c r="CC49" s="14">
        <f t="shared" si="39"/>
        <v>95.882539631200402</v>
      </c>
      <c r="CD49" s="20" t="e">
        <f t="shared" si="1"/>
        <v>#DIV/0!</v>
      </c>
    </row>
    <row r="50" spans="1:82" ht="41.25" customHeight="1">
      <c r="A50" s="35">
        <f t="shared" si="40"/>
        <v>46</v>
      </c>
      <c r="B50" s="7" t="s">
        <v>70</v>
      </c>
      <c r="C50" s="11">
        <v>0</v>
      </c>
      <c r="D50" s="11">
        <v>0</v>
      </c>
      <c r="E50" s="14" t="e">
        <f t="shared" si="41"/>
        <v>#DIV/0!</v>
      </c>
      <c r="F50" s="11">
        <v>0</v>
      </c>
      <c r="G50" s="18" t="e">
        <f t="shared" si="0"/>
        <v>#DIV/0!</v>
      </c>
      <c r="H50" s="11">
        <v>0</v>
      </c>
      <c r="I50" s="14" t="e">
        <f t="shared" si="3"/>
        <v>#DIV/0!</v>
      </c>
      <c r="J50" s="11">
        <v>0</v>
      </c>
      <c r="K50" s="14" t="e">
        <f t="shared" si="4"/>
        <v>#DIV/0!</v>
      </c>
      <c r="L50" s="11">
        <v>0</v>
      </c>
      <c r="M50" s="11" t="e">
        <f t="shared" si="5"/>
        <v>#DIV/0!</v>
      </c>
      <c r="N50" s="11">
        <v>0</v>
      </c>
      <c r="O50" s="11" t="e">
        <f t="shared" si="6"/>
        <v>#DIV/0!</v>
      </c>
      <c r="P50" s="11">
        <v>0</v>
      </c>
      <c r="Q50" s="11" t="e">
        <f t="shared" si="7"/>
        <v>#DIV/0!</v>
      </c>
      <c r="R50" s="11" t="e">
        <f t="shared" si="8"/>
        <v>#DIV/0!</v>
      </c>
      <c r="S50" s="11">
        <v>0</v>
      </c>
      <c r="T50" s="11">
        <v>0</v>
      </c>
      <c r="U50" s="14" t="e">
        <f t="shared" si="9"/>
        <v>#DIV/0!</v>
      </c>
      <c r="V50" s="11">
        <v>0</v>
      </c>
      <c r="W50" s="14" t="e">
        <f t="shared" si="10"/>
        <v>#DIV/0!</v>
      </c>
      <c r="X50" s="11">
        <v>0</v>
      </c>
      <c r="Y50" s="14" t="e">
        <f t="shared" si="11"/>
        <v>#DIV/0!</v>
      </c>
      <c r="Z50" s="11">
        <v>0</v>
      </c>
      <c r="AA50" s="14" t="e">
        <f t="shared" si="12"/>
        <v>#DIV/0!</v>
      </c>
      <c r="AB50" s="11">
        <v>0</v>
      </c>
      <c r="AC50" s="14" t="e">
        <f t="shared" si="13"/>
        <v>#DIV/0!</v>
      </c>
      <c r="AD50" s="11">
        <v>0</v>
      </c>
      <c r="AE50" s="14" t="e">
        <f t="shared" si="14"/>
        <v>#DIV/0!</v>
      </c>
      <c r="AF50" s="11">
        <v>0</v>
      </c>
      <c r="AG50" s="14" t="e">
        <f t="shared" si="15"/>
        <v>#DIV/0!</v>
      </c>
      <c r="AH50" s="14" t="e">
        <f t="shared" si="16"/>
        <v>#DIV/0!</v>
      </c>
      <c r="AI50" s="11">
        <v>0</v>
      </c>
      <c r="AJ50" s="11">
        <v>0</v>
      </c>
      <c r="AK50" s="14" t="e">
        <f t="shared" si="17"/>
        <v>#DIV/0!</v>
      </c>
      <c r="AL50" s="11"/>
      <c r="AM50" s="14" t="e">
        <f t="shared" si="18"/>
        <v>#DIV/0!</v>
      </c>
      <c r="AN50" s="11"/>
      <c r="AO50" s="14" t="e">
        <f t="shared" si="19"/>
        <v>#DIV/0!</v>
      </c>
      <c r="AP50" s="11">
        <v>0</v>
      </c>
      <c r="AQ50" s="14" t="e">
        <f t="shared" si="20"/>
        <v>#DIV/0!</v>
      </c>
      <c r="AR50" s="11">
        <v>0</v>
      </c>
      <c r="AS50" s="14" t="e">
        <f t="shared" si="21"/>
        <v>#DIV/0!</v>
      </c>
      <c r="AT50" s="11"/>
      <c r="AU50" s="14" t="e">
        <f t="shared" si="22"/>
        <v>#DIV/0!</v>
      </c>
      <c r="AV50" s="11"/>
      <c r="AW50" s="14" t="e">
        <f t="shared" si="23"/>
        <v>#DIV/0!</v>
      </c>
      <c r="AX50" s="14" t="e">
        <f t="shared" si="24"/>
        <v>#DIV/0!</v>
      </c>
      <c r="AY50" s="11">
        <v>9338.2999999999993</v>
      </c>
      <c r="AZ50" s="11">
        <v>9703.7999999999993</v>
      </c>
      <c r="BA50" s="14">
        <f t="shared" si="25"/>
        <v>103.91398862748038</v>
      </c>
      <c r="BB50" s="11">
        <v>7837.04</v>
      </c>
      <c r="BC50" s="14">
        <f t="shared" si="26"/>
        <v>80.762587852181625</v>
      </c>
      <c r="BD50" s="11">
        <v>8946.2800000000007</v>
      </c>
      <c r="BE50" s="14">
        <f t="shared" si="27"/>
        <v>114.15381317436174</v>
      </c>
      <c r="BF50" s="11">
        <v>10254</v>
      </c>
      <c r="BG50" s="14">
        <f t="shared" si="28"/>
        <v>114.61747229015857</v>
      </c>
      <c r="BH50" s="11">
        <v>10689.9</v>
      </c>
      <c r="BI50" s="14">
        <f t="shared" si="29"/>
        <v>104.25102399063779</v>
      </c>
      <c r="BJ50" s="11">
        <f>6929.5/41.2/12*1000</f>
        <v>14015.978964401294</v>
      </c>
      <c r="BK50" s="14">
        <f t="shared" si="30"/>
        <v>131.11421963162698</v>
      </c>
      <c r="BL50" s="11">
        <f>1534.3/37/3*1000</f>
        <v>13822.52252252252</v>
      </c>
      <c r="BM50" s="14">
        <f t="shared" si="31"/>
        <v>98.619743634246831</v>
      </c>
      <c r="BN50" s="14">
        <f t="shared" si="32"/>
        <v>148.01968797878115</v>
      </c>
      <c r="BO50" s="11">
        <v>14630.63</v>
      </c>
      <c r="BP50" s="11">
        <v>13829.79</v>
      </c>
      <c r="BQ50" s="14">
        <f t="shared" si="33"/>
        <v>94.526278089186874</v>
      </c>
      <c r="BR50" s="11">
        <v>15372.62</v>
      </c>
      <c r="BS50" s="14">
        <f t="shared" si="34"/>
        <v>111.1558454611386</v>
      </c>
      <c r="BT50" s="11">
        <v>16124.27</v>
      </c>
      <c r="BU50" s="14">
        <f t="shared" si="35"/>
        <v>104.88953737228917</v>
      </c>
      <c r="BV50" s="11">
        <v>14773.06</v>
      </c>
      <c r="BW50" s="14">
        <f t="shared" si="36"/>
        <v>91.620023728205979</v>
      </c>
      <c r="BX50" s="11">
        <v>17956.3</v>
      </c>
      <c r="BY50" s="14">
        <f t="shared" si="37"/>
        <v>121.54760083557503</v>
      </c>
      <c r="BZ50" s="11">
        <v>18746.77</v>
      </c>
      <c r="CA50" s="14">
        <f t="shared" si="38"/>
        <v>104.40218753306641</v>
      </c>
      <c r="CB50" s="11">
        <v>17929.169999999998</v>
      </c>
      <c r="CC50" s="14">
        <f t="shared" si="39"/>
        <v>95.638715362699799</v>
      </c>
      <c r="CD50" s="20">
        <f t="shared" si="1"/>
        <v>122.54544062695865</v>
      </c>
    </row>
    <row r="51" spans="1:82" ht="52.5" customHeight="1">
      <c r="A51" s="35">
        <f t="shared" si="40"/>
        <v>47</v>
      </c>
      <c r="B51" s="7" t="s">
        <v>71</v>
      </c>
      <c r="C51" s="11">
        <v>27792.7</v>
      </c>
      <c r="D51" s="11">
        <v>35200</v>
      </c>
      <c r="E51" s="14">
        <f t="shared" si="41"/>
        <v>126.6519625657097</v>
      </c>
      <c r="F51" s="11">
        <v>31260</v>
      </c>
      <c r="G51" s="18">
        <f t="shared" si="0"/>
        <v>88.806818181818187</v>
      </c>
      <c r="H51" s="11">
        <v>30846.15</v>
      </c>
      <c r="I51" s="14">
        <f t="shared" si="3"/>
        <v>98.676103646833013</v>
      </c>
      <c r="J51" s="11">
        <v>31053.9</v>
      </c>
      <c r="K51" s="14">
        <f t="shared" si="4"/>
        <v>100.67350382462641</v>
      </c>
      <c r="L51" s="11">
        <v>32037.7</v>
      </c>
      <c r="M51" s="11">
        <f t="shared" si="5"/>
        <v>103.16804008514228</v>
      </c>
      <c r="N51" s="11">
        <v>38514.300000000003</v>
      </c>
      <c r="O51" s="11">
        <f t="shared" si="6"/>
        <v>120.21555854508907</v>
      </c>
      <c r="P51" s="11">
        <v>32680.95</v>
      </c>
      <c r="Q51" s="11">
        <f t="shared" si="7"/>
        <v>84.854067190627887</v>
      </c>
      <c r="R51" s="11">
        <f t="shared" si="8"/>
        <v>117.58825159124517</v>
      </c>
      <c r="S51" s="11">
        <v>23208.3</v>
      </c>
      <c r="T51" s="11">
        <v>17233.3</v>
      </c>
      <c r="U51" s="14">
        <f t="shared" si="9"/>
        <v>74.254900186571177</v>
      </c>
      <c r="V51" s="11">
        <v>18016.97</v>
      </c>
      <c r="W51" s="14">
        <f t="shared" si="10"/>
        <v>104.54741691956852</v>
      </c>
      <c r="X51" s="11">
        <v>16673.61</v>
      </c>
      <c r="Y51" s="14">
        <f t="shared" si="11"/>
        <v>92.543918317008917</v>
      </c>
      <c r="Z51" s="11">
        <v>19208.3</v>
      </c>
      <c r="AA51" s="14">
        <f t="shared" si="12"/>
        <v>115.2018069272341</v>
      </c>
      <c r="AB51" s="11">
        <v>19112.5</v>
      </c>
      <c r="AC51" s="14">
        <f t="shared" si="13"/>
        <v>99.501257268993086</v>
      </c>
      <c r="AD51" s="11">
        <v>23229.17</v>
      </c>
      <c r="AE51" s="14">
        <f t="shared" si="14"/>
        <v>121.53914977109221</v>
      </c>
      <c r="AF51" s="11">
        <v>21650</v>
      </c>
      <c r="AG51" s="14">
        <f t="shared" si="15"/>
        <v>93.201780347726597</v>
      </c>
      <c r="AH51" s="14">
        <f t="shared" si="16"/>
        <v>77.898153112148151</v>
      </c>
      <c r="AI51" s="11">
        <v>11033.3</v>
      </c>
      <c r="AJ51" s="11">
        <v>13666.7</v>
      </c>
      <c r="AK51" s="14">
        <f t="shared" si="17"/>
        <v>123.86774582400552</v>
      </c>
      <c r="AL51" s="11">
        <v>13087.5</v>
      </c>
      <c r="AM51" s="14">
        <f t="shared" si="18"/>
        <v>95.761961556191324</v>
      </c>
      <c r="AN51" s="11">
        <v>13308.33</v>
      </c>
      <c r="AO51" s="14">
        <f t="shared" si="19"/>
        <v>101.68733524355301</v>
      </c>
      <c r="AP51" s="11">
        <v>14070.8</v>
      </c>
      <c r="AQ51" s="14">
        <f t="shared" si="20"/>
        <v>105.72926881133846</v>
      </c>
      <c r="AR51" s="11">
        <v>15994</v>
      </c>
      <c r="AS51" s="14">
        <f t="shared" si="21"/>
        <v>113.6680217187367</v>
      </c>
      <c r="AT51" s="11">
        <v>17341.669999999998</v>
      </c>
      <c r="AU51" s="14">
        <f t="shared" si="22"/>
        <v>108.42609728648243</v>
      </c>
      <c r="AV51" s="11">
        <v>15400</v>
      </c>
      <c r="AW51" s="14">
        <f t="shared" si="23"/>
        <v>88.803442805681357</v>
      </c>
      <c r="AX51" s="14">
        <f t="shared" si="24"/>
        <v>139.57746095909656</v>
      </c>
      <c r="AY51" s="11">
        <v>20566.7</v>
      </c>
      <c r="AZ51" s="11">
        <v>37079.199999999997</v>
      </c>
      <c r="BA51" s="14">
        <f t="shared" si="25"/>
        <v>180.28755220818115</v>
      </c>
      <c r="BB51" s="11">
        <v>10050</v>
      </c>
      <c r="BC51" s="14">
        <f t="shared" si="26"/>
        <v>27.104144641739847</v>
      </c>
      <c r="BD51" s="11">
        <v>20241.669999999998</v>
      </c>
      <c r="BE51" s="14">
        <f t="shared" si="27"/>
        <v>201.40965174129352</v>
      </c>
      <c r="BF51" s="11">
        <v>22462.5</v>
      </c>
      <c r="BG51" s="14">
        <f t="shared" si="28"/>
        <v>110.97157497380405</v>
      </c>
      <c r="BH51" s="11">
        <v>20935.900000000001</v>
      </c>
      <c r="BI51" s="14">
        <f t="shared" si="29"/>
        <v>93.203784084585422</v>
      </c>
      <c r="BJ51" s="11">
        <f>232.5/1/12*1000</f>
        <v>19375</v>
      </c>
      <c r="BK51" s="14">
        <f t="shared" si="30"/>
        <v>92.544385481397967</v>
      </c>
      <c r="BL51" s="11">
        <f>47.1/0.8/3*1000</f>
        <v>19625</v>
      </c>
      <c r="BM51" s="14">
        <f t="shared" si="31"/>
        <v>101.29032258064517</v>
      </c>
      <c r="BN51" s="14">
        <f t="shared" si="32"/>
        <v>95.421239187618824</v>
      </c>
      <c r="BO51" s="11">
        <v>8891.67</v>
      </c>
      <c r="BP51" s="11">
        <v>8865.74</v>
      </c>
      <c r="BQ51" s="14">
        <f t="shared" si="33"/>
        <v>99.708378741001397</v>
      </c>
      <c r="BR51" s="11">
        <v>5401.52</v>
      </c>
      <c r="BS51" s="14">
        <f t="shared" si="34"/>
        <v>60.925765925912565</v>
      </c>
      <c r="BT51" s="11">
        <v>12383.33</v>
      </c>
      <c r="BU51" s="14">
        <f t="shared" si="35"/>
        <v>229.25639449636398</v>
      </c>
      <c r="BV51" s="11">
        <v>13050</v>
      </c>
      <c r="BW51" s="14">
        <f t="shared" si="36"/>
        <v>105.38360844780847</v>
      </c>
      <c r="BX51" s="11">
        <v>12704.17</v>
      </c>
      <c r="BY51" s="14">
        <f t="shared" si="37"/>
        <v>97.349961685823757</v>
      </c>
      <c r="BZ51" s="11">
        <v>14395.83</v>
      </c>
      <c r="CA51" s="14">
        <f t="shared" si="38"/>
        <v>113.3157852893971</v>
      </c>
      <c r="CB51" s="11">
        <v>14354.17</v>
      </c>
      <c r="CC51" s="14">
        <f t="shared" si="39"/>
        <v>99.710610642109557</v>
      </c>
      <c r="CD51" s="20">
        <f t="shared" si="1"/>
        <v>161.4339038673275</v>
      </c>
    </row>
    <row r="52" spans="1:82" ht="52.5" customHeight="1">
      <c r="A52" s="35">
        <f t="shared" si="40"/>
        <v>48</v>
      </c>
      <c r="B52" s="7" t="s">
        <v>72</v>
      </c>
      <c r="C52" s="11">
        <v>0</v>
      </c>
      <c r="D52" s="11">
        <v>0</v>
      </c>
      <c r="E52" s="14" t="e">
        <f t="shared" si="41"/>
        <v>#DIV/0!</v>
      </c>
      <c r="F52" s="11">
        <v>0</v>
      </c>
      <c r="G52" s="18" t="e">
        <f t="shared" si="0"/>
        <v>#DIV/0!</v>
      </c>
      <c r="H52" s="11">
        <v>0</v>
      </c>
      <c r="I52" s="14" t="e">
        <f t="shared" si="3"/>
        <v>#DIV/0!</v>
      </c>
      <c r="J52" s="11">
        <v>0</v>
      </c>
      <c r="K52" s="14" t="e">
        <f t="shared" si="4"/>
        <v>#DIV/0!</v>
      </c>
      <c r="L52" s="11">
        <v>0</v>
      </c>
      <c r="M52" s="11" t="e">
        <f t="shared" si="5"/>
        <v>#DIV/0!</v>
      </c>
      <c r="N52" s="11">
        <v>0</v>
      </c>
      <c r="O52" s="11" t="e">
        <f t="shared" si="6"/>
        <v>#DIV/0!</v>
      </c>
      <c r="P52" s="11">
        <v>0</v>
      </c>
      <c r="Q52" s="11" t="e">
        <f t="shared" si="7"/>
        <v>#DIV/0!</v>
      </c>
      <c r="R52" s="11" t="e">
        <f t="shared" si="8"/>
        <v>#DIV/0!</v>
      </c>
      <c r="S52" s="11"/>
      <c r="T52" s="11">
        <v>21091.7</v>
      </c>
      <c r="U52" s="14" t="e">
        <f t="shared" si="9"/>
        <v>#DIV/0!</v>
      </c>
      <c r="V52" s="11">
        <v>24594.44</v>
      </c>
      <c r="W52" s="14">
        <f t="shared" si="10"/>
        <v>116.6071961956599</v>
      </c>
      <c r="X52" s="11">
        <v>24587.8</v>
      </c>
      <c r="Y52" s="14">
        <f t="shared" si="11"/>
        <v>99.973002028100666</v>
      </c>
      <c r="Z52" s="11">
        <v>29562.5</v>
      </c>
      <c r="AA52" s="14">
        <f t="shared" si="12"/>
        <v>120.23239167391959</v>
      </c>
      <c r="AB52" s="11">
        <v>28487.5</v>
      </c>
      <c r="AC52" s="14">
        <f t="shared" si="13"/>
        <v>96.36363636363636</v>
      </c>
      <c r="AD52" s="11">
        <v>31704.2</v>
      </c>
      <c r="AE52" s="14">
        <f t="shared" si="14"/>
        <v>111.29161913119789</v>
      </c>
      <c r="AF52" s="11">
        <v>32216.7</v>
      </c>
      <c r="AG52" s="14">
        <f t="shared" si="15"/>
        <v>101.61650506872905</v>
      </c>
      <c r="AH52" s="14" t="e">
        <f t="shared" si="16"/>
        <v>#DIV/0!</v>
      </c>
      <c r="AI52" s="11">
        <v>0</v>
      </c>
      <c r="AJ52" s="11">
        <v>0</v>
      </c>
      <c r="AK52" s="14" t="e">
        <f t="shared" si="17"/>
        <v>#DIV/0!</v>
      </c>
      <c r="AL52" s="11">
        <v>0</v>
      </c>
      <c r="AM52" s="14" t="e">
        <f t="shared" si="18"/>
        <v>#DIV/0!</v>
      </c>
      <c r="AN52" s="11">
        <v>0</v>
      </c>
      <c r="AO52" s="14" t="e">
        <f t="shared" si="19"/>
        <v>#DIV/0!</v>
      </c>
      <c r="AP52" s="11">
        <v>0</v>
      </c>
      <c r="AQ52" s="14" t="e">
        <f t="shared" si="20"/>
        <v>#DIV/0!</v>
      </c>
      <c r="AR52" s="11">
        <v>0</v>
      </c>
      <c r="AS52" s="14" t="e">
        <f t="shared" si="21"/>
        <v>#DIV/0!</v>
      </c>
      <c r="AT52" s="11">
        <v>0</v>
      </c>
      <c r="AU52" s="14" t="e">
        <f t="shared" si="22"/>
        <v>#DIV/0!</v>
      </c>
      <c r="AV52" s="11">
        <v>0</v>
      </c>
      <c r="AW52" s="14" t="e">
        <f t="shared" si="23"/>
        <v>#DIV/0!</v>
      </c>
      <c r="AX52" s="14" t="e">
        <f t="shared" si="24"/>
        <v>#DIV/0!</v>
      </c>
      <c r="AY52" s="11"/>
      <c r="AZ52" s="11">
        <v>16893.8</v>
      </c>
      <c r="BA52" s="14" t="e">
        <f t="shared" si="25"/>
        <v>#DIV/0!</v>
      </c>
      <c r="BB52" s="11">
        <v>19286.3</v>
      </c>
      <c r="BC52" s="14">
        <f t="shared" si="26"/>
        <v>114.16200026045058</v>
      </c>
      <c r="BD52" s="11">
        <v>19799.7</v>
      </c>
      <c r="BE52" s="14">
        <f t="shared" si="27"/>
        <v>102.66199322835381</v>
      </c>
      <c r="BF52" s="11">
        <v>20346.599999999999</v>
      </c>
      <c r="BG52" s="14">
        <f t="shared" si="28"/>
        <v>102.76216306307671</v>
      </c>
      <c r="BH52" s="11">
        <v>20128.599999999999</v>
      </c>
      <c r="BI52" s="14">
        <f t="shared" si="29"/>
        <v>98.928567917981383</v>
      </c>
      <c r="BJ52" s="11">
        <f>91260.1/366.2/12*1000</f>
        <v>20767.363007464046</v>
      </c>
      <c r="BK52" s="14">
        <f t="shared" si="30"/>
        <v>103.17341001094984</v>
      </c>
      <c r="BL52" s="11">
        <f>23350.5/360.1/3*1000</f>
        <v>21614.829214107191</v>
      </c>
      <c r="BM52" s="14">
        <f t="shared" si="31"/>
        <v>104.08075982655359</v>
      </c>
      <c r="BN52" s="14" t="e">
        <f t="shared" si="32"/>
        <v>#DIV/0!</v>
      </c>
      <c r="BO52" s="11">
        <v>20740.36</v>
      </c>
      <c r="BP52" s="11">
        <v>23686.400000000001</v>
      </c>
      <c r="BQ52" s="14">
        <f t="shared" si="33"/>
        <v>114.20438218044431</v>
      </c>
      <c r="BR52" s="11">
        <v>24162.34</v>
      </c>
      <c r="BS52" s="14">
        <f t="shared" si="34"/>
        <v>102.00933869224534</v>
      </c>
      <c r="BT52" s="11">
        <v>25857.34</v>
      </c>
      <c r="BU52" s="14">
        <f t="shared" si="35"/>
        <v>107.01504903912453</v>
      </c>
      <c r="BV52" s="11">
        <v>25994.14</v>
      </c>
      <c r="BW52" s="14">
        <f t="shared" si="36"/>
        <v>100.52905673978839</v>
      </c>
      <c r="BX52" s="11">
        <v>25227.65</v>
      </c>
      <c r="BY52" s="14">
        <f t="shared" si="37"/>
        <v>97.051296946157876</v>
      </c>
      <c r="BZ52" s="11">
        <v>25334.48</v>
      </c>
      <c r="CA52" s="14">
        <f t="shared" si="38"/>
        <v>100.42346393738615</v>
      </c>
      <c r="CB52" s="11">
        <v>24037.18</v>
      </c>
      <c r="CC52" s="14">
        <f t="shared" si="39"/>
        <v>94.879310725935568</v>
      </c>
      <c r="CD52" s="20">
        <f t="shared" si="1"/>
        <v>115.8956739420145</v>
      </c>
    </row>
    <row r="53" spans="1:82" ht="65.25" customHeight="1">
      <c r="A53" s="35">
        <f t="shared" si="40"/>
        <v>49</v>
      </c>
      <c r="B53" s="7" t="s">
        <v>73</v>
      </c>
      <c r="C53" s="11"/>
      <c r="D53" s="11"/>
      <c r="E53" s="14" t="e">
        <f t="shared" si="41"/>
        <v>#DIV/0!</v>
      </c>
      <c r="F53" s="11"/>
      <c r="G53" s="18" t="e">
        <f t="shared" si="0"/>
        <v>#DIV/0!</v>
      </c>
      <c r="H53" s="11"/>
      <c r="I53" s="14" t="e">
        <f t="shared" si="3"/>
        <v>#DIV/0!</v>
      </c>
      <c r="J53" s="11">
        <v>0</v>
      </c>
      <c r="K53" s="14" t="e">
        <f t="shared" si="4"/>
        <v>#DIV/0!</v>
      </c>
      <c r="L53" s="11">
        <v>0</v>
      </c>
      <c r="M53" s="11" t="e">
        <f t="shared" si="5"/>
        <v>#DIV/0!</v>
      </c>
      <c r="N53" s="11"/>
      <c r="O53" s="11" t="e">
        <f t="shared" si="6"/>
        <v>#DIV/0!</v>
      </c>
      <c r="P53" s="11"/>
      <c r="Q53" s="11" t="e">
        <f t="shared" si="7"/>
        <v>#DIV/0!</v>
      </c>
      <c r="R53" s="11" t="e">
        <f t="shared" si="8"/>
        <v>#DIV/0!</v>
      </c>
      <c r="S53" s="11"/>
      <c r="T53" s="11"/>
      <c r="U53" s="14" t="e">
        <f t="shared" si="9"/>
        <v>#DIV/0!</v>
      </c>
      <c r="V53" s="11"/>
      <c r="W53" s="14" t="e">
        <f t="shared" si="10"/>
        <v>#DIV/0!</v>
      </c>
      <c r="X53" s="11"/>
      <c r="Y53" s="14" t="e">
        <f t="shared" si="11"/>
        <v>#DIV/0!</v>
      </c>
      <c r="Z53" s="11">
        <v>0</v>
      </c>
      <c r="AA53" s="14" t="e">
        <f t="shared" si="12"/>
        <v>#DIV/0!</v>
      </c>
      <c r="AB53" s="11">
        <v>0</v>
      </c>
      <c r="AC53" s="14" t="e">
        <f t="shared" si="13"/>
        <v>#DIV/0!</v>
      </c>
      <c r="AD53" s="11"/>
      <c r="AE53" s="14" t="e">
        <f t="shared" si="14"/>
        <v>#DIV/0!</v>
      </c>
      <c r="AF53" s="11"/>
      <c r="AG53" s="14" t="e">
        <f t="shared" si="15"/>
        <v>#DIV/0!</v>
      </c>
      <c r="AH53" s="14" t="e">
        <f t="shared" si="16"/>
        <v>#DIV/0!</v>
      </c>
      <c r="AI53" s="11"/>
      <c r="AJ53" s="11"/>
      <c r="AK53" s="14" t="e">
        <f t="shared" si="17"/>
        <v>#DIV/0!</v>
      </c>
      <c r="AL53" s="11"/>
      <c r="AM53" s="14" t="e">
        <f t="shared" si="18"/>
        <v>#DIV/0!</v>
      </c>
      <c r="AN53" s="11"/>
      <c r="AO53" s="14" t="e">
        <f t="shared" si="19"/>
        <v>#DIV/0!</v>
      </c>
      <c r="AP53" s="11">
        <v>0</v>
      </c>
      <c r="AQ53" s="14" t="e">
        <f t="shared" si="20"/>
        <v>#DIV/0!</v>
      </c>
      <c r="AR53" s="11">
        <v>0</v>
      </c>
      <c r="AS53" s="14" t="e">
        <f t="shared" si="21"/>
        <v>#DIV/0!</v>
      </c>
      <c r="AT53" s="11"/>
      <c r="AU53" s="14" t="e">
        <f t="shared" si="22"/>
        <v>#DIV/0!</v>
      </c>
      <c r="AV53" s="11"/>
      <c r="AW53" s="14" t="e">
        <f t="shared" si="23"/>
        <v>#DIV/0!</v>
      </c>
      <c r="AX53" s="14" t="e">
        <f t="shared" si="24"/>
        <v>#DIV/0!</v>
      </c>
      <c r="AY53" s="11"/>
      <c r="AZ53" s="11"/>
      <c r="BA53" s="14" t="e">
        <f t="shared" si="25"/>
        <v>#DIV/0!</v>
      </c>
      <c r="BB53" s="11">
        <v>11957.66</v>
      </c>
      <c r="BC53" s="14" t="e">
        <f t="shared" si="26"/>
        <v>#DIV/0!</v>
      </c>
      <c r="BD53" s="11">
        <v>12405.98</v>
      </c>
      <c r="BE53" s="14">
        <f t="shared" si="27"/>
        <v>103.74922852798957</v>
      </c>
      <c r="BF53" s="11">
        <v>12223.5</v>
      </c>
      <c r="BG53" s="14">
        <f t="shared" si="28"/>
        <v>98.529096451872405</v>
      </c>
      <c r="BH53" s="11">
        <v>12312.7</v>
      </c>
      <c r="BI53" s="14">
        <f t="shared" si="29"/>
        <v>100.72974189062055</v>
      </c>
      <c r="BJ53" s="11">
        <f>13199.2/76.5/12*1000</f>
        <v>14378.213507625274</v>
      </c>
      <c r="BK53" s="14">
        <f t="shared" si="30"/>
        <v>116.77547172939543</v>
      </c>
      <c r="BL53" s="11">
        <f>3417.8/71.1/3*1000</f>
        <v>16023.441162681671</v>
      </c>
      <c r="BM53" s="14">
        <f t="shared" si="31"/>
        <v>111.44250399525555</v>
      </c>
      <c r="BN53" s="14" t="e">
        <f t="shared" si="32"/>
        <v>#DIV/0!</v>
      </c>
      <c r="BO53" s="11">
        <v>24415.56</v>
      </c>
      <c r="BP53" s="11">
        <v>26366.67</v>
      </c>
      <c r="BQ53" s="14">
        <f t="shared" si="33"/>
        <v>107.9912563955117</v>
      </c>
      <c r="BR53" s="11">
        <v>26756.11</v>
      </c>
      <c r="BS53" s="14">
        <f t="shared" si="34"/>
        <v>101.47701624816483</v>
      </c>
      <c r="BT53" s="11">
        <v>27920.16</v>
      </c>
      <c r="BU53" s="14">
        <f t="shared" si="35"/>
        <v>104.35059506034324</v>
      </c>
      <c r="BV53" s="11">
        <v>24809.59</v>
      </c>
      <c r="BW53" s="14">
        <f t="shared" si="36"/>
        <v>88.859053816310507</v>
      </c>
      <c r="BX53" s="11">
        <v>22113.48</v>
      </c>
      <c r="BY53" s="14">
        <f t="shared" si="37"/>
        <v>89.132790989290839</v>
      </c>
      <c r="BZ53" s="11">
        <v>24432.240000000002</v>
      </c>
      <c r="CA53" s="14">
        <f t="shared" si="38"/>
        <v>110.485730875466</v>
      </c>
      <c r="CB53" s="11">
        <v>24795.360000000001</v>
      </c>
      <c r="CC53" s="14">
        <f t="shared" si="39"/>
        <v>101.48623294466654</v>
      </c>
      <c r="CD53" s="20">
        <f t="shared" si="1"/>
        <v>101.55556538535262</v>
      </c>
    </row>
    <row r="54" spans="1:82" ht="33" customHeight="1">
      <c r="A54" s="35">
        <f t="shared" si="40"/>
        <v>50</v>
      </c>
      <c r="B54" s="7" t="s">
        <v>74</v>
      </c>
      <c r="C54" s="11"/>
      <c r="D54" s="11"/>
      <c r="E54" s="14" t="e">
        <f t="shared" si="41"/>
        <v>#DIV/0!</v>
      </c>
      <c r="F54" s="11"/>
      <c r="G54" s="18" t="e">
        <f t="shared" si="0"/>
        <v>#DIV/0!</v>
      </c>
      <c r="H54" s="11"/>
      <c r="I54" s="14" t="e">
        <f t="shared" si="3"/>
        <v>#DIV/0!</v>
      </c>
      <c r="J54" s="11">
        <v>0</v>
      </c>
      <c r="K54" s="14" t="e">
        <f t="shared" si="4"/>
        <v>#DIV/0!</v>
      </c>
      <c r="L54" s="11">
        <v>0</v>
      </c>
      <c r="M54" s="11" t="e">
        <f t="shared" si="5"/>
        <v>#DIV/0!</v>
      </c>
      <c r="N54" s="11"/>
      <c r="O54" s="11" t="e">
        <f t="shared" si="6"/>
        <v>#DIV/0!</v>
      </c>
      <c r="P54" s="11"/>
      <c r="Q54" s="11" t="e">
        <f t="shared" si="7"/>
        <v>#DIV/0!</v>
      </c>
      <c r="R54" s="11" t="e">
        <f t="shared" si="8"/>
        <v>#DIV/0!</v>
      </c>
      <c r="S54" s="11"/>
      <c r="T54" s="11"/>
      <c r="U54" s="14" t="e">
        <f t="shared" si="9"/>
        <v>#DIV/0!</v>
      </c>
      <c r="V54" s="11"/>
      <c r="W54" s="14" t="e">
        <f t="shared" si="10"/>
        <v>#DIV/0!</v>
      </c>
      <c r="X54" s="11"/>
      <c r="Y54" s="14" t="e">
        <f t="shared" si="11"/>
        <v>#DIV/0!</v>
      </c>
      <c r="Z54" s="11">
        <v>0</v>
      </c>
      <c r="AA54" s="14" t="e">
        <f t="shared" si="12"/>
        <v>#DIV/0!</v>
      </c>
      <c r="AB54" s="11">
        <v>0</v>
      </c>
      <c r="AC54" s="14" t="e">
        <f t="shared" si="13"/>
        <v>#DIV/0!</v>
      </c>
      <c r="AD54" s="11"/>
      <c r="AE54" s="14" t="e">
        <f t="shared" si="14"/>
        <v>#DIV/0!</v>
      </c>
      <c r="AF54" s="11"/>
      <c r="AG54" s="14" t="e">
        <f t="shared" si="15"/>
        <v>#DIV/0!</v>
      </c>
      <c r="AH54" s="14" t="e">
        <f t="shared" si="16"/>
        <v>#DIV/0!</v>
      </c>
      <c r="AI54" s="11"/>
      <c r="AJ54" s="11"/>
      <c r="AK54" s="14" t="e">
        <f t="shared" si="17"/>
        <v>#DIV/0!</v>
      </c>
      <c r="AL54" s="11"/>
      <c r="AM54" s="14" t="e">
        <f t="shared" si="18"/>
        <v>#DIV/0!</v>
      </c>
      <c r="AN54" s="11"/>
      <c r="AO54" s="14" t="e">
        <f t="shared" si="19"/>
        <v>#DIV/0!</v>
      </c>
      <c r="AP54" s="11">
        <v>0</v>
      </c>
      <c r="AQ54" s="14" t="e">
        <f t="shared" si="20"/>
        <v>#DIV/0!</v>
      </c>
      <c r="AR54" s="11">
        <v>0</v>
      </c>
      <c r="AS54" s="14" t="e">
        <f t="shared" si="21"/>
        <v>#DIV/0!</v>
      </c>
      <c r="AT54" s="11"/>
      <c r="AU54" s="14" t="e">
        <f t="shared" si="22"/>
        <v>#DIV/0!</v>
      </c>
      <c r="AV54" s="11"/>
      <c r="AW54" s="14" t="e">
        <f t="shared" si="23"/>
        <v>#DIV/0!</v>
      </c>
      <c r="AX54" s="14" t="e">
        <f t="shared" si="24"/>
        <v>#DIV/0!</v>
      </c>
      <c r="AY54" s="11"/>
      <c r="AZ54" s="11"/>
      <c r="BA54" s="14" t="e">
        <f t="shared" si="25"/>
        <v>#DIV/0!</v>
      </c>
      <c r="BB54" s="11">
        <v>12919.6</v>
      </c>
      <c r="BC54" s="14" t="e">
        <f t="shared" si="26"/>
        <v>#DIV/0!</v>
      </c>
      <c r="BD54" s="11">
        <v>13059.82</v>
      </c>
      <c r="BE54" s="14">
        <f t="shared" si="27"/>
        <v>101.08532771912442</v>
      </c>
      <c r="BF54" s="11">
        <v>12891.9</v>
      </c>
      <c r="BG54" s="14">
        <f t="shared" si="28"/>
        <v>98.714224238925198</v>
      </c>
      <c r="BH54" s="11">
        <v>12181.3</v>
      </c>
      <c r="BI54" s="14">
        <f t="shared" si="29"/>
        <v>94.488011852403446</v>
      </c>
      <c r="BJ54" s="11">
        <f>4362.5/25/12*1000</f>
        <v>14541.666666666666</v>
      </c>
      <c r="BK54" s="14">
        <f t="shared" si="30"/>
        <v>119.37696852279041</v>
      </c>
      <c r="BL54" s="11">
        <f>1160/26/3*1000</f>
        <v>14871.794871794871</v>
      </c>
      <c r="BM54" s="14">
        <f t="shared" si="31"/>
        <v>102.27022261406216</v>
      </c>
      <c r="BN54" s="14" t="e">
        <f t="shared" si="32"/>
        <v>#DIV/0!</v>
      </c>
      <c r="BO54" s="11">
        <v>15205.56</v>
      </c>
      <c r="BP54" s="11">
        <v>19929.759999999998</v>
      </c>
      <c r="BQ54" s="14">
        <f t="shared" si="33"/>
        <v>131.06889848187109</v>
      </c>
      <c r="BR54" s="11">
        <v>22404.76</v>
      </c>
      <c r="BS54" s="14">
        <f t="shared" si="34"/>
        <v>112.4186141729755</v>
      </c>
      <c r="BT54" s="11">
        <v>22584.52</v>
      </c>
      <c r="BU54" s="14">
        <f t="shared" si="35"/>
        <v>100.80232950498021</v>
      </c>
      <c r="BV54" s="11">
        <v>23679.759999999998</v>
      </c>
      <c r="BW54" s="14">
        <f t="shared" si="36"/>
        <v>104.84951639441529</v>
      </c>
      <c r="BX54" s="11">
        <v>19672.919999999998</v>
      </c>
      <c r="BY54" s="14">
        <f t="shared" si="37"/>
        <v>83.079051476873076</v>
      </c>
      <c r="BZ54" s="11">
        <v>19407.41</v>
      </c>
      <c r="CA54" s="14">
        <f t="shared" si="38"/>
        <v>98.650378286497386</v>
      </c>
      <c r="CB54" s="11">
        <v>20081.48</v>
      </c>
      <c r="CC54" s="14">
        <f t="shared" si="39"/>
        <v>103.47326098639644</v>
      </c>
      <c r="CD54" s="20">
        <f t="shared" si="1"/>
        <v>132.06669139446362</v>
      </c>
    </row>
    <row r="55" spans="1:82" ht="31.5" customHeight="1">
      <c r="A55" s="35">
        <f t="shared" si="40"/>
        <v>51</v>
      </c>
      <c r="B55" s="9" t="s">
        <v>53</v>
      </c>
      <c r="C55" s="11">
        <v>32156</v>
      </c>
      <c r="D55" s="11">
        <v>58785.8</v>
      </c>
      <c r="E55" s="14">
        <f t="shared" si="41"/>
        <v>182.81440477671353</v>
      </c>
      <c r="F55" s="11">
        <v>39360</v>
      </c>
      <c r="G55" s="18">
        <f t="shared" si="0"/>
        <v>66.954944901659914</v>
      </c>
      <c r="H55" s="11">
        <v>47755.95</v>
      </c>
      <c r="I55" s="14">
        <f t="shared" si="3"/>
        <v>121.33117378048779</v>
      </c>
      <c r="J55" s="11">
        <v>39198.300000000003</v>
      </c>
      <c r="K55" s="14">
        <f t="shared" si="4"/>
        <v>82.080452802216271</v>
      </c>
      <c r="L55" s="11">
        <v>36968.1</v>
      </c>
      <c r="M55" s="11">
        <f t="shared" si="5"/>
        <v>94.310467545786409</v>
      </c>
      <c r="N55" s="11"/>
      <c r="O55" s="11">
        <f t="shared" si="6"/>
        <v>0</v>
      </c>
      <c r="P55" s="11"/>
      <c r="Q55" s="11" t="e">
        <f t="shared" si="7"/>
        <v>#DIV/0!</v>
      </c>
      <c r="R55" s="11">
        <f t="shared" si="8"/>
        <v>0</v>
      </c>
      <c r="S55" s="11">
        <v>13477</v>
      </c>
      <c r="T55" s="11">
        <v>15922.8</v>
      </c>
      <c r="U55" s="14">
        <f t="shared" si="9"/>
        <v>118.14795577650811</v>
      </c>
      <c r="V55" s="11">
        <v>19044.87</v>
      </c>
      <c r="W55" s="14">
        <f t="shared" si="10"/>
        <v>119.60754389931418</v>
      </c>
      <c r="X55" s="11">
        <v>19430.650000000001</v>
      </c>
      <c r="Y55" s="14">
        <f t="shared" si="11"/>
        <v>102.02563735011057</v>
      </c>
      <c r="Z55" s="11">
        <v>19887</v>
      </c>
      <c r="AA55" s="14">
        <f t="shared" si="12"/>
        <v>102.34860902749006</v>
      </c>
      <c r="AB55" s="11">
        <v>20015.8</v>
      </c>
      <c r="AC55" s="14">
        <f t="shared" si="13"/>
        <v>100.64765927490321</v>
      </c>
      <c r="AD55" s="11"/>
      <c r="AE55" s="14">
        <f t="shared" si="14"/>
        <v>0</v>
      </c>
      <c r="AF55" s="11"/>
      <c r="AG55" s="14" t="e">
        <f t="shared" si="15"/>
        <v>#DIV/0!</v>
      </c>
      <c r="AH55" s="14">
        <f t="shared" si="16"/>
        <v>0</v>
      </c>
      <c r="AI55" s="11">
        <v>7257.1</v>
      </c>
      <c r="AJ55" s="11">
        <v>8375.2999999999993</v>
      </c>
      <c r="AK55" s="14">
        <f t="shared" si="17"/>
        <v>115.40835871077977</v>
      </c>
      <c r="AL55" s="11">
        <v>9273</v>
      </c>
      <c r="AM55" s="14">
        <f t="shared" si="18"/>
        <v>110.71842202667368</v>
      </c>
      <c r="AN55" s="11">
        <v>10560.76</v>
      </c>
      <c r="AO55" s="14">
        <f t="shared" si="19"/>
        <v>113.88719939609619</v>
      </c>
      <c r="AP55" s="11">
        <v>10081</v>
      </c>
      <c r="AQ55" s="14">
        <f t="shared" si="20"/>
        <v>95.457145129706575</v>
      </c>
      <c r="AR55" s="11">
        <v>11304.4</v>
      </c>
      <c r="AS55" s="14">
        <f t="shared" si="21"/>
        <v>112.13570082333102</v>
      </c>
      <c r="AT55" s="11"/>
      <c r="AU55" s="14">
        <f t="shared" si="22"/>
        <v>0</v>
      </c>
      <c r="AV55" s="11"/>
      <c r="AW55" s="14" t="e">
        <f t="shared" si="23"/>
        <v>#DIV/0!</v>
      </c>
      <c r="AX55" s="14">
        <f t="shared" si="24"/>
        <v>0</v>
      </c>
      <c r="AY55" s="11">
        <v>11538.1</v>
      </c>
      <c r="AZ55" s="11">
        <v>11196.5</v>
      </c>
      <c r="BA55" s="14">
        <f t="shared" si="25"/>
        <v>97.039373900382202</v>
      </c>
      <c r="BB55" s="11">
        <v>14204.2</v>
      </c>
      <c r="BC55" s="14">
        <f t="shared" si="26"/>
        <v>126.86285892912966</v>
      </c>
      <c r="BD55" s="11">
        <v>16278.08</v>
      </c>
      <c r="BE55" s="14">
        <f t="shared" si="27"/>
        <v>114.60047028343729</v>
      </c>
      <c r="BF55" s="11">
        <v>14410.2</v>
      </c>
      <c r="BG55" s="14">
        <f t="shared" si="28"/>
        <v>88.525182331085745</v>
      </c>
      <c r="BH55" s="11">
        <v>16504.900000000001</v>
      </c>
      <c r="BI55" s="14">
        <f t="shared" si="29"/>
        <v>114.53623128062067</v>
      </c>
      <c r="BJ55" s="11">
        <f>4651.4/29.3/12*1000</f>
        <v>13229.2377701934</v>
      </c>
      <c r="BK55" s="14">
        <f t="shared" si="30"/>
        <v>80.153395477666621</v>
      </c>
      <c r="BL55" s="11">
        <f>1206.6/29/3*1000</f>
        <v>13868.965517241379</v>
      </c>
      <c r="BM55" s="14">
        <f t="shared" si="31"/>
        <v>104.83571130975768</v>
      </c>
      <c r="BN55" s="14">
        <f t="shared" si="32"/>
        <v>120.20146746207243</v>
      </c>
      <c r="BO55" s="11"/>
      <c r="BP55" s="11"/>
      <c r="BQ55" s="14"/>
      <c r="BR55" s="11"/>
      <c r="BS55" s="14"/>
      <c r="BT55" s="11"/>
      <c r="BU55" s="14"/>
      <c r="BV55" s="11"/>
      <c r="BW55" s="14"/>
      <c r="BX55" s="11"/>
      <c r="BY55" s="14"/>
      <c r="BZ55" s="11"/>
      <c r="CA55" s="14"/>
      <c r="CB55" s="11"/>
      <c r="CC55" s="14"/>
      <c r="CD55" s="21"/>
    </row>
    <row r="56" spans="1:82" ht="30" customHeight="1">
      <c r="A56" s="35">
        <f t="shared" si="40"/>
        <v>52</v>
      </c>
      <c r="B56" s="9" t="s">
        <v>54</v>
      </c>
      <c r="C56" s="11">
        <v>22356.400000000001</v>
      </c>
      <c r="D56" s="11">
        <v>17557.7</v>
      </c>
      <c r="E56" s="14">
        <f t="shared" si="41"/>
        <v>78.535452935177403</v>
      </c>
      <c r="F56" s="11">
        <v>32936.46</v>
      </c>
      <c r="G56" s="18">
        <f t="shared" si="0"/>
        <v>187.58983238123443</v>
      </c>
      <c r="H56" s="11">
        <v>35448.81</v>
      </c>
      <c r="I56" s="14">
        <f t="shared" si="3"/>
        <v>107.62786893309118</v>
      </c>
      <c r="J56" s="11">
        <v>31533.3</v>
      </c>
      <c r="K56" s="14">
        <f t="shared" si="4"/>
        <v>88.954467018780036</v>
      </c>
      <c r="L56" s="11">
        <v>32313.9</v>
      </c>
      <c r="M56" s="11">
        <f t="shared" si="5"/>
        <v>102.47547830388828</v>
      </c>
      <c r="N56" s="11"/>
      <c r="O56" s="11">
        <f t="shared" si="6"/>
        <v>0</v>
      </c>
      <c r="P56" s="11"/>
      <c r="Q56" s="11" t="e">
        <f t="shared" si="7"/>
        <v>#DIV/0!</v>
      </c>
      <c r="R56" s="11">
        <f t="shared" si="8"/>
        <v>0</v>
      </c>
      <c r="S56" s="11">
        <v>20351</v>
      </c>
      <c r="T56" s="11">
        <v>17926.8</v>
      </c>
      <c r="U56" s="14">
        <f t="shared" si="9"/>
        <v>88.088054641049567</v>
      </c>
      <c r="V56" s="11">
        <v>19361.98</v>
      </c>
      <c r="W56" s="14">
        <f t="shared" si="10"/>
        <v>108.00577905705424</v>
      </c>
      <c r="X56" s="11">
        <v>14025.87</v>
      </c>
      <c r="Y56" s="14">
        <f t="shared" si="11"/>
        <v>72.440266956168742</v>
      </c>
      <c r="Z56" s="11">
        <v>17029.099999999999</v>
      </c>
      <c r="AA56" s="14">
        <f t="shared" si="12"/>
        <v>121.41207639882587</v>
      </c>
      <c r="AB56" s="11">
        <v>17444</v>
      </c>
      <c r="AC56" s="14">
        <f t="shared" si="13"/>
        <v>102.43641766153233</v>
      </c>
      <c r="AD56" s="11"/>
      <c r="AE56" s="14">
        <f t="shared" si="14"/>
        <v>0</v>
      </c>
      <c r="AF56" s="11"/>
      <c r="AG56" s="14" t="e">
        <f t="shared" si="15"/>
        <v>#DIV/0!</v>
      </c>
      <c r="AH56" s="14">
        <f t="shared" si="16"/>
        <v>0</v>
      </c>
      <c r="AI56" s="11">
        <v>13035.2</v>
      </c>
      <c r="AJ56" s="11">
        <v>12759.3</v>
      </c>
      <c r="AK56" s="14">
        <f t="shared" si="17"/>
        <v>97.883423346016926</v>
      </c>
      <c r="AL56" s="11">
        <v>15892.59</v>
      </c>
      <c r="AM56" s="14">
        <f t="shared" si="18"/>
        <v>124.5569114293104</v>
      </c>
      <c r="AN56" s="11">
        <v>6864.58</v>
      </c>
      <c r="AO56" s="14">
        <f t="shared" si="19"/>
        <v>43.193588961899856</v>
      </c>
      <c r="AP56" s="11">
        <v>6812.5</v>
      </c>
      <c r="AQ56" s="14">
        <f t="shared" si="20"/>
        <v>99.241322848593796</v>
      </c>
      <c r="AR56" s="11">
        <v>9400</v>
      </c>
      <c r="AS56" s="14">
        <f t="shared" si="21"/>
        <v>137.9816513761468</v>
      </c>
      <c r="AT56" s="11"/>
      <c r="AU56" s="14">
        <f t="shared" si="22"/>
        <v>0</v>
      </c>
      <c r="AV56" s="11"/>
      <c r="AW56" s="14" t="e">
        <f t="shared" si="23"/>
        <v>#DIV/0!</v>
      </c>
      <c r="AX56" s="14">
        <f t="shared" si="24"/>
        <v>0</v>
      </c>
      <c r="AY56" s="11">
        <v>11447.2</v>
      </c>
      <c r="AZ56" s="11">
        <v>13512.3</v>
      </c>
      <c r="BA56" s="14">
        <f t="shared" si="25"/>
        <v>118.04021944230902</v>
      </c>
      <c r="BB56" s="11">
        <v>10377.6</v>
      </c>
      <c r="BC56" s="14">
        <f t="shared" si="26"/>
        <v>76.80113674207945</v>
      </c>
      <c r="BD56" s="11">
        <v>12971.47</v>
      </c>
      <c r="BE56" s="14">
        <f t="shared" si="27"/>
        <v>124.99489284613013</v>
      </c>
      <c r="BF56" s="11">
        <v>15217.7</v>
      </c>
      <c r="BG56" s="14">
        <f t="shared" si="28"/>
        <v>117.31669579469406</v>
      </c>
      <c r="BH56" s="11">
        <v>14636.4</v>
      </c>
      <c r="BI56" s="14">
        <f t="shared" si="29"/>
        <v>96.180106060705612</v>
      </c>
      <c r="BJ56" s="11">
        <f>3203.1/18.8/12*1000</f>
        <v>14198.13829787234</v>
      </c>
      <c r="BK56" s="14">
        <f t="shared" si="30"/>
        <v>97.005672828512076</v>
      </c>
      <c r="BL56" s="11">
        <f>909.2/20/3*1000</f>
        <v>15153.333333333334</v>
      </c>
      <c r="BM56" s="14">
        <f t="shared" si="31"/>
        <v>106.72760763010834</v>
      </c>
      <c r="BN56" s="14">
        <f t="shared" si="32"/>
        <v>132.37589395951267</v>
      </c>
      <c r="BO56" s="11"/>
      <c r="BP56" s="11"/>
      <c r="BQ56" s="14"/>
      <c r="BR56" s="11"/>
      <c r="BS56" s="14"/>
      <c r="BT56" s="11"/>
      <c r="BU56" s="14"/>
      <c r="BV56" s="11"/>
      <c r="BW56" s="14"/>
      <c r="BX56" s="11"/>
      <c r="BY56" s="14"/>
      <c r="BZ56" s="11"/>
      <c r="CA56" s="14"/>
      <c r="CB56" s="11"/>
      <c r="CC56" s="14"/>
      <c r="CD56" s="21"/>
    </row>
    <row r="57" spans="1:82" ht="30" customHeight="1">
      <c r="A57" s="35">
        <f t="shared" si="40"/>
        <v>53</v>
      </c>
      <c r="B57" s="9" t="s">
        <v>55</v>
      </c>
      <c r="C57" s="11">
        <v>25059.4</v>
      </c>
      <c r="D57" s="11">
        <v>33722.6</v>
      </c>
      <c r="E57" s="14">
        <f t="shared" si="41"/>
        <v>134.57066011157488</v>
      </c>
      <c r="F57" s="11">
        <v>34436.67</v>
      </c>
      <c r="G57" s="18">
        <f t="shared" si="0"/>
        <v>102.11748204468221</v>
      </c>
      <c r="H57" s="11">
        <v>32202.78</v>
      </c>
      <c r="I57" s="14">
        <f t="shared" si="3"/>
        <v>93.51304873554848</v>
      </c>
      <c r="J57" s="11">
        <v>31627.8</v>
      </c>
      <c r="K57" s="14">
        <f t="shared" si="4"/>
        <v>98.214501977779562</v>
      </c>
      <c r="L57" s="11">
        <v>34902</v>
      </c>
      <c r="M57" s="11">
        <f t="shared" si="5"/>
        <v>110.35228501508168</v>
      </c>
      <c r="N57" s="11"/>
      <c r="O57" s="11">
        <f t="shared" si="6"/>
        <v>0</v>
      </c>
      <c r="P57" s="11"/>
      <c r="Q57" s="11" t="e">
        <f t="shared" si="7"/>
        <v>#DIV/0!</v>
      </c>
      <c r="R57" s="11">
        <f t="shared" si="8"/>
        <v>0</v>
      </c>
      <c r="S57" s="11">
        <v>12035.2</v>
      </c>
      <c r="T57" s="11"/>
      <c r="U57" s="14">
        <f t="shared" si="9"/>
        <v>0</v>
      </c>
      <c r="V57" s="11">
        <v>13312.7</v>
      </c>
      <c r="W57" s="14" t="e">
        <f t="shared" si="10"/>
        <v>#DIV/0!</v>
      </c>
      <c r="X57" s="11">
        <v>13793.99</v>
      </c>
      <c r="Y57" s="14">
        <f t="shared" si="11"/>
        <v>103.61526962975202</v>
      </c>
      <c r="Z57" s="11">
        <v>15706.5</v>
      </c>
      <c r="AA57" s="14">
        <f t="shared" si="12"/>
        <v>113.86480633957252</v>
      </c>
      <c r="AB57" s="11">
        <v>15529.1</v>
      </c>
      <c r="AC57" s="14">
        <f t="shared" si="13"/>
        <v>98.870531308693856</v>
      </c>
      <c r="AD57" s="11"/>
      <c r="AE57" s="14">
        <f t="shared" si="14"/>
        <v>0</v>
      </c>
      <c r="AF57" s="11"/>
      <c r="AG57" s="14" t="e">
        <f t="shared" si="15"/>
        <v>#DIV/0!</v>
      </c>
      <c r="AH57" s="14">
        <f t="shared" si="16"/>
        <v>0</v>
      </c>
      <c r="AI57" s="11">
        <v>7516.7</v>
      </c>
      <c r="AJ57" s="11">
        <v>11703.1</v>
      </c>
      <c r="AK57" s="14">
        <f t="shared" si="17"/>
        <v>155.69465323878831</v>
      </c>
      <c r="AL57" s="11">
        <v>11797.4</v>
      </c>
      <c r="AM57" s="14">
        <f t="shared" si="18"/>
        <v>100.80576941152344</v>
      </c>
      <c r="AN57" s="11">
        <v>11267.71</v>
      </c>
      <c r="AO57" s="14">
        <f t="shared" si="19"/>
        <v>95.510112397646935</v>
      </c>
      <c r="AP57" s="11">
        <v>7154.5</v>
      </c>
      <c r="AQ57" s="14">
        <f t="shared" si="20"/>
        <v>63.495599372010822</v>
      </c>
      <c r="AR57" s="11">
        <v>11097.9</v>
      </c>
      <c r="AS57" s="14">
        <f t="shared" si="21"/>
        <v>155.11775805437139</v>
      </c>
      <c r="AT57" s="11"/>
      <c r="AU57" s="14">
        <f t="shared" si="22"/>
        <v>0</v>
      </c>
      <c r="AV57" s="11"/>
      <c r="AW57" s="14" t="e">
        <f t="shared" si="23"/>
        <v>#DIV/0!</v>
      </c>
      <c r="AX57" s="14">
        <f t="shared" si="24"/>
        <v>0</v>
      </c>
      <c r="AY57" s="11">
        <v>6797.6</v>
      </c>
      <c r="AZ57" s="11">
        <v>12934</v>
      </c>
      <c r="BA57" s="14">
        <f t="shared" si="25"/>
        <v>190.27303754266211</v>
      </c>
      <c r="BB57" s="11">
        <v>8429.76</v>
      </c>
      <c r="BC57" s="14">
        <f t="shared" si="26"/>
        <v>65.175197154785835</v>
      </c>
      <c r="BD57" s="11">
        <v>9663.1</v>
      </c>
      <c r="BE57" s="14">
        <f t="shared" si="27"/>
        <v>114.63078426906578</v>
      </c>
      <c r="BF57" s="11">
        <v>14991.2</v>
      </c>
      <c r="BG57" s="14">
        <f t="shared" si="28"/>
        <v>155.13862011155842</v>
      </c>
      <c r="BH57" s="11">
        <v>13137.3</v>
      </c>
      <c r="BI57" s="14">
        <f t="shared" si="29"/>
        <v>87.633411601472858</v>
      </c>
      <c r="BJ57" s="11">
        <f>3956/23.4/12*1000</f>
        <v>14088.319088319089</v>
      </c>
      <c r="BK57" s="14">
        <f t="shared" si="30"/>
        <v>107.23907567246762</v>
      </c>
      <c r="BL57" s="11">
        <f>1077.7/23/3*1000</f>
        <v>15618.840579710146</v>
      </c>
      <c r="BM57" s="14">
        <f t="shared" si="31"/>
        <v>110.86376225436321</v>
      </c>
      <c r="BN57" s="14">
        <f t="shared" si="32"/>
        <v>229.7699273230279</v>
      </c>
      <c r="BO57" s="11"/>
      <c r="BP57" s="11"/>
      <c r="BQ57" s="14"/>
      <c r="BR57" s="11"/>
      <c r="BS57" s="14"/>
      <c r="BT57" s="11"/>
      <c r="BU57" s="14"/>
      <c r="BV57" s="11"/>
      <c r="BW57" s="14"/>
      <c r="BX57" s="11"/>
      <c r="BY57" s="14"/>
      <c r="BZ57" s="11"/>
      <c r="CA57" s="14"/>
      <c r="CB57" s="11"/>
      <c r="CC57" s="14"/>
      <c r="CD57" s="21"/>
    </row>
    <row r="58" spans="1:82" ht="28.5" customHeight="1">
      <c r="A58" s="35">
        <f t="shared" si="40"/>
        <v>54</v>
      </c>
      <c r="B58" s="9" t="s">
        <v>56</v>
      </c>
      <c r="C58" s="11">
        <v>39278.300000000003</v>
      </c>
      <c r="D58" s="11"/>
      <c r="E58" s="14">
        <f t="shared" si="41"/>
        <v>0</v>
      </c>
      <c r="F58" s="11"/>
      <c r="G58" s="18" t="e">
        <f t="shared" si="0"/>
        <v>#DIV/0!</v>
      </c>
      <c r="H58" s="11"/>
      <c r="I58" s="14" t="e">
        <f t="shared" si="3"/>
        <v>#DIV/0!</v>
      </c>
      <c r="J58" s="11"/>
      <c r="K58" s="14" t="e">
        <f t="shared" si="4"/>
        <v>#DIV/0!</v>
      </c>
      <c r="L58" s="11"/>
      <c r="M58" s="11" t="e">
        <f t="shared" si="5"/>
        <v>#DIV/0!</v>
      </c>
      <c r="N58" s="11"/>
      <c r="O58" s="11" t="e">
        <f t="shared" si="6"/>
        <v>#DIV/0!</v>
      </c>
      <c r="P58" s="11"/>
      <c r="Q58" s="11" t="e">
        <f t="shared" si="7"/>
        <v>#DIV/0!</v>
      </c>
      <c r="R58" s="11">
        <f t="shared" si="8"/>
        <v>0</v>
      </c>
      <c r="S58" s="11">
        <v>11371.4</v>
      </c>
      <c r="T58" s="11"/>
      <c r="U58" s="14">
        <f t="shared" si="9"/>
        <v>0</v>
      </c>
      <c r="V58" s="11"/>
      <c r="W58" s="14" t="e">
        <f t="shared" si="10"/>
        <v>#DIV/0!</v>
      </c>
      <c r="X58" s="11"/>
      <c r="Y58" s="14" t="e">
        <f t="shared" si="11"/>
        <v>#DIV/0!</v>
      </c>
      <c r="Z58" s="11"/>
      <c r="AA58" s="14" t="e">
        <f t="shared" si="12"/>
        <v>#DIV/0!</v>
      </c>
      <c r="AB58" s="11"/>
      <c r="AC58" s="14" t="e">
        <f t="shared" si="13"/>
        <v>#DIV/0!</v>
      </c>
      <c r="AD58" s="11"/>
      <c r="AE58" s="14" t="e">
        <f t="shared" si="14"/>
        <v>#DIV/0!</v>
      </c>
      <c r="AF58" s="11"/>
      <c r="AG58" s="14" t="e">
        <f t="shared" si="15"/>
        <v>#DIV/0!</v>
      </c>
      <c r="AH58" s="14">
        <f t="shared" si="16"/>
        <v>0</v>
      </c>
      <c r="AI58" s="11">
        <v>4087.7</v>
      </c>
      <c r="AJ58" s="11"/>
      <c r="AK58" s="14">
        <f t="shared" si="17"/>
        <v>0</v>
      </c>
      <c r="AL58" s="11"/>
      <c r="AM58" s="14" t="e">
        <f t="shared" si="18"/>
        <v>#DIV/0!</v>
      </c>
      <c r="AN58" s="11"/>
      <c r="AO58" s="14" t="e">
        <f t="shared" si="19"/>
        <v>#DIV/0!</v>
      </c>
      <c r="AP58" s="11"/>
      <c r="AQ58" s="14" t="e">
        <f t="shared" si="20"/>
        <v>#DIV/0!</v>
      </c>
      <c r="AR58" s="11"/>
      <c r="AS58" s="14" t="e">
        <f t="shared" si="21"/>
        <v>#DIV/0!</v>
      </c>
      <c r="AT58" s="11"/>
      <c r="AU58" s="14" t="e">
        <f t="shared" si="22"/>
        <v>#DIV/0!</v>
      </c>
      <c r="AV58" s="11"/>
      <c r="AW58" s="14" t="e">
        <f t="shared" si="23"/>
        <v>#DIV/0!</v>
      </c>
      <c r="AX58" s="14">
        <f t="shared" si="24"/>
        <v>0</v>
      </c>
      <c r="AY58" s="11">
        <v>10235.6</v>
      </c>
      <c r="AZ58" s="11"/>
      <c r="BA58" s="14">
        <f t="shared" si="25"/>
        <v>0</v>
      </c>
      <c r="BB58" s="11"/>
      <c r="BC58" s="14" t="e">
        <f t="shared" si="26"/>
        <v>#DIV/0!</v>
      </c>
      <c r="BD58" s="11"/>
      <c r="BE58" s="14" t="e">
        <f t="shared" si="27"/>
        <v>#DIV/0!</v>
      </c>
      <c r="BF58" s="11"/>
      <c r="BG58" s="14" t="e">
        <f t="shared" si="28"/>
        <v>#DIV/0!</v>
      </c>
      <c r="BH58" s="11"/>
      <c r="BI58" s="14" t="e">
        <f t="shared" si="29"/>
        <v>#DIV/0!</v>
      </c>
      <c r="BJ58" s="11"/>
      <c r="BK58" s="14" t="e">
        <f t="shared" si="30"/>
        <v>#DIV/0!</v>
      </c>
      <c r="BL58" s="11"/>
      <c r="BM58" s="14" t="e">
        <f t="shared" si="31"/>
        <v>#DIV/0!</v>
      </c>
      <c r="BN58" s="14">
        <f t="shared" si="32"/>
        <v>0</v>
      </c>
      <c r="BO58" s="11"/>
      <c r="BP58" s="11"/>
      <c r="BQ58" s="14"/>
      <c r="BR58" s="11"/>
      <c r="BS58" s="14"/>
      <c r="BT58" s="11"/>
      <c r="BU58" s="14"/>
      <c r="BV58" s="11"/>
      <c r="BW58" s="14"/>
      <c r="BX58" s="11"/>
      <c r="BY58" s="14"/>
      <c r="BZ58" s="11"/>
      <c r="CA58" s="14"/>
      <c r="CB58" s="11"/>
      <c r="CC58" s="14"/>
      <c r="CD58" s="21"/>
    </row>
    <row r="59" spans="1:82" ht="30.75" customHeight="1">
      <c r="A59" s="35">
        <f t="shared" si="40"/>
        <v>55</v>
      </c>
      <c r="B59" s="9" t="s">
        <v>57</v>
      </c>
      <c r="C59" s="11">
        <v>0</v>
      </c>
      <c r="D59" s="11">
        <v>0</v>
      </c>
      <c r="E59" s="14" t="e">
        <f t="shared" si="41"/>
        <v>#DIV/0!</v>
      </c>
      <c r="F59" s="11"/>
      <c r="G59" s="18" t="e">
        <f t="shared" si="0"/>
        <v>#DIV/0!</v>
      </c>
      <c r="H59" s="11"/>
      <c r="I59" s="14" t="e">
        <f t="shared" si="3"/>
        <v>#DIV/0!</v>
      </c>
      <c r="J59" s="11"/>
      <c r="K59" s="14" t="e">
        <f t="shared" si="4"/>
        <v>#DIV/0!</v>
      </c>
      <c r="L59" s="11"/>
      <c r="M59" s="11" t="e">
        <f t="shared" si="5"/>
        <v>#DIV/0!</v>
      </c>
      <c r="N59" s="11"/>
      <c r="O59" s="11" t="e">
        <f t="shared" si="6"/>
        <v>#DIV/0!</v>
      </c>
      <c r="P59" s="11"/>
      <c r="Q59" s="11" t="e">
        <f t="shared" si="7"/>
        <v>#DIV/0!</v>
      </c>
      <c r="R59" s="11" t="e">
        <f t="shared" si="8"/>
        <v>#DIV/0!</v>
      </c>
      <c r="S59" s="11">
        <v>0</v>
      </c>
      <c r="T59" s="11">
        <v>0</v>
      </c>
      <c r="U59" s="14" t="e">
        <f t="shared" si="9"/>
        <v>#DIV/0!</v>
      </c>
      <c r="V59" s="11"/>
      <c r="W59" s="14" t="e">
        <f t="shared" si="10"/>
        <v>#DIV/0!</v>
      </c>
      <c r="X59" s="11"/>
      <c r="Y59" s="14" t="e">
        <f t="shared" si="11"/>
        <v>#DIV/0!</v>
      </c>
      <c r="Z59" s="11"/>
      <c r="AA59" s="14" t="e">
        <f t="shared" si="12"/>
        <v>#DIV/0!</v>
      </c>
      <c r="AB59" s="11"/>
      <c r="AC59" s="14" t="e">
        <f t="shared" si="13"/>
        <v>#DIV/0!</v>
      </c>
      <c r="AD59" s="11"/>
      <c r="AE59" s="14" t="e">
        <f t="shared" si="14"/>
        <v>#DIV/0!</v>
      </c>
      <c r="AF59" s="11"/>
      <c r="AG59" s="14" t="e">
        <f t="shared" si="15"/>
        <v>#DIV/0!</v>
      </c>
      <c r="AH59" s="14" t="e">
        <f t="shared" si="16"/>
        <v>#DIV/0!</v>
      </c>
      <c r="AI59" s="11">
        <v>0</v>
      </c>
      <c r="AJ59" s="11">
        <v>0</v>
      </c>
      <c r="AK59" s="14" t="e">
        <f t="shared" si="17"/>
        <v>#DIV/0!</v>
      </c>
      <c r="AL59" s="11"/>
      <c r="AM59" s="14" t="e">
        <f t="shared" si="18"/>
        <v>#DIV/0!</v>
      </c>
      <c r="AN59" s="11"/>
      <c r="AO59" s="14" t="e">
        <f t="shared" si="19"/>
        <v>#DIV/0!</v>
      </c>
      <c r="AP59" s="11"/>
      <c r="AQ59" s="14" t="e">
        <f t="shared" si="20"/>
        <v>#DIV/0!</v>
      </c>
      <c r="AR59" s="11"/>
      <c r="AS59" s="14" t="e">
        <f t="shared" si="21"/>
        <v>#DIV/0!</v>
      </c>
      <c r="AT59" s="11"/>
      <c r="AU59" s="14" t="e">
        <f t="shared" si="22"/>
        <v>#DIV/0!</v>
      </c>
      <c r="AV59" s="11"/>
      <c r="AW59" s="14" t="e">
        <f t="shared" si="23"/>
        <v>#DIV/0!</v>
      </c>
      <c r="AX59" s="14" t="e">
        <f t="shared" si="24"/>
        <v>#DIV/0!</v>
      </c>
      <c r="AY59" s="11">
        <v>18866.7</v>
      </c>
      <c r="AZ59" s="11">
        <v>22916.7</v>
      </c>
      <c r="BA59" s="14">
        <f t="shared" si="25"/>
        <v>121.46639316891665</v>
      </c>
      <c r="BB59" s="11"/>
      <c r="BC59" s="14">
        <f t="shared" si="26"/>
        <v>0</v>
      </c>
      <c r="BD59" s="11"/>
      <c r="BE59" s="14" t="e">
        <f t="shared" si="27"/>
        <v>#DIV/0!</v>
      </c>
      <c r="BF59" s="11"/>
      <c r="BG59" s="14" t="e">
        <f t="shared" si="28"/>
        <v>#DIV/0!</v>
      </c>
      <c r="BH59" s="11"/>
      <c r="BI59" s="14" t="e">
        <f t="shared" si="29"/>
        <v>#DIV/0!</v>
      </c>
      <c r="BJ59" s="11"/>
      <c r="BK59" s="14" t="e">
        <f t="shared" si="30"/>
        <v>#DIV/0!</v>
      </c>
      <c r="BL59" s="11"/>
      <c r="BM59" s="14" t="e">
        <f t="shared" si="31"/>
        <v>#DIV/0!</v>
      </c>
      <c r="BN59" s="14">
        <f t="shared" si="32"/>
        <v>0</v>
      </c>
      <c r="BO59" s="11"/>
      <c r="BP59" s="11"/>
      <c r="BQ59" s="14"/>
      <c r="BR59" s="11"/>
      <c r="BS59" s="14"/>
      <c r="BT59" s="11"/>
      <c r="BU59" s="14"/>
      <c r="BV59" s="11"/>
      <c r="BW59" s="14"/>
      <c r="BX59" s="11"/>
      <c r="BY59" s="14"/>
      <c r="BZ59" s="11"/>
      <c r="CA59" s="14"/>
      <c r="CB59" s="11"/>
      <c r="CC59" s="14"/>
      <c r="CD59" s="21"/>
    </row>
    <row r="60" spans="1:82" ht="31.5" customHeight="1">
      <c r="A60" s="35">
        <f t="shared" si="40"/>
        <v>56</v>
      </c>
      <c r="B60" s="9" t="s">
        <v>58</v>
      </c>
      <c r="C60" s="11">
        <v>27402.799999999999</v>
      </c>
      <c r="D60" s="11">
        <v>35368.1</v>
      </c>
      <c r="E60" s="14">
        <f t="shared" si="41"/>
        <v>129.06746755805975</v>
      </c>
      <c r="F60" s="11"/>
      <c r="G60" s="18">
        <f t="shared" si="0"/>
        <v>0</v>
      </c>
      <c r="H60" s="11"/>
      <c r="I60" s="14" t="e">
        <f t="shared" si="3"/>
        <v>#DIV/0!</v>
      </c>
      <c r="J60" s="11"/>
      <c r="K60" s="14" t="e">
        <f t="shared" si="4"/>
        <v>#DIV/0!</v>
      </c>
      <c r="L60" s="11"/>
      <c r="M60" s="11" t="e">
        <f t="shared" si="5"/>
        <v>#DIV/0!</v>
      </c>
      <c r="N60" s="11"/>
      <c r="O60" s="11" t="e">
        <f t="shared" si="6"/>
        <v>#DIV/0!</v>
      </c>
      <c r="P60" s="11"/>
      <c r="Q60" s="11" t="e">
        <f t="shared" si="7"/>
        <v>#DIV/0!</v>
      </c>
      <c r="R60" s="11">
        <f t="shared" si="8"/>
        <v>0</v>
      </c>
      <c r="S60" s="11">
        <v>12048.3</v>
      </c>
      <c r="T60" s="11">
        <v>12724.4</v>
      </c>
      <c r="U60" s="14">
        <f t="shared" si="9"/>
        <v>105.6115800569375</v>
      </c>
      <c r="V60" s="11"/>
      <c r="W60" s="14">
        <f t="shared" si="10"/>
        <v>0</v>
      </c>
      <c r="X60" s="11"/>
      <c r="Y60" s="14" t="e">
        <f t="shared" si="11"/>
        <v>#DIV/0!</v>
      </c>
      <c r="Z60" s="11"/>
      <c r="AA60" s="14" t="e">
        <f t="shared" si="12"/>
        <v>#DIV/0!</v>
      </c>
      <c r="AB60" s="11"/>
      <c r="AC60" s="14" t="e">
        <f t="shared" si="13"/>
        <v>#DIV/0!</v>
      </c>
      <c r="AD60" s="11"/>
      <c r="AE60" s="14" t="e">
        <f t="shared" si="14"/>
        <v>#DIV/0!</v>
      </c>
      <c r="AF60" s="11"/>
      <c r="AG60" s="14" t="e">
        <f t="shared" si="15"/>
        <v>#DIV/0!</v>
      </c>
      <c r="AH60" s="14">
        <f t="shared" si="16"/>
        <v>0</v>
      </c>
      <c r="AI60" s="11">
        <v>5829.7</v>
      </c>
      <c r="AJ60" s="11">
        <v>7344.8</v>
      </c>
      <c r="AK60" s="14">
        <f t="shared" si="17"/>
        <v>125.98933049728116</v>
      </c>
      <c r="AL60" s="11"/>
      <c r="AM60" s="14">
        <f t="shared" si="18"/>
        <v>0</v>
      </c>
      <c r="AN60" s="11"/>
      <c r="AO60" s="14" t="e">
        <f t="shared" si="19"/>
        <v>#DIV/0!</v>
      </c>
      <c r="AP60" s="11"/>
      <c r="AQ60" s="14" t="e">
        <f t="shared" si="20"/>
        <v>#DIV/0!</v>
      </c>
      <c r="AR60" s="11"/>
      <c r="AS60" s="14" t="e">
        <f t="shared" si="21"/>
        <v>#DIV/0!</v>
      </c>
      <c r="AT60" s="11"/>
      <c r="AU60" s="14" t="e">
        <f t="shared" si="22"/>
        <v>#DIV/0!</v>
      </c>
      <c r="AV60" s="11"/>
      <c r="AW60" s="14" t="e">
        <f t="shared" si="23"/>
        <v>#DIV/0!</v>
      </c>
      <c r="AX60" s="14">
        <f t="shared" si="24"/>
        <v>0</v>
      </c>
      <c r="AY60" s="11">
        <v>7339.3</v>
      </c>
      <c r="AZ60" s="11">
        <v>9973.1</v>
      </c>
      <c r="BA60" s="14">
        <f t="shared" si="25"/>
        <v>135.88625618246971</v>
      </c>
      <c r="BB60" s="11"/>
      <c r="BC60" s="14">
        <f t="shared" si="26"/>
        <v>0</v>
      </c>
      <c r="BD60" s="11"/>
      <c r="BE60" s="14" t="e">
        <f t="shared" si="27"/>
        <v>#DIV/0!</v>
      </c>
      <c r="BF60" s="11"/>
      <c r="BG60" s="14" t="e">
        <f t="shared" si="28"/>
        <v>#DIV/0!</v>
      </c>
      <c r="BH60" s="11"/>
      <c r="BI60" s="14" t="e">
        <f t="shared" si="29"/>
        <v>#DIV/0!</v>
      </c>
      <c r="BJ60" s="11"/>
      <c r="BK60" s="14" t="e">
        <f t="shared" si="30"/>
        <v>#DIV/0!</v>
      </c>
      <c r="BL60" s="11"/>
      <c r="BM60" s="14" t="e">
        <f t="shared" si="31"/>
        <v>#DIV/0!</v>
      </c>
      <c r="BN60" s="14">
        <f t="shared" si="32"/>
        <v>0</v>
      </c>
      <c r="BO60" s="11"/>
      <c r="BP60" s="11"/>
      <c r="BQ60" s="14"/>
      <c r="BR60" s="11"/>
      <c r="BS60" s="14"/>
      <c r="BT60" s="11"/>
      <c r="BU60" s="14"/>
      <c r="BV60" s="11"/>
      <c r="BW60" s="14"/>
      <c r="BX60" s="11"/>
      <c r="BY60" s="14"/>
      <c r="BZ60" s="11"/>
      <c r="CA60" s="14"/>
      <c r="CB60" s="11"/>
      <c r="CC60" s="14"/>
      <c r="CD60" s="21"/>
    </row>
    <row r="61" spans="1:82" ht="30" customHeight="1">
      <c r="A61" s="35">
        <f t="shared" si="40"/>
        <v>57</v>
      </c>
      <c r="B61" s="9" t="s">
        <v>59</v>
      </c>
      <c r="C61" s="11">
        <v>23208.3</v>
      </c>
      <c r="D61" s="11">
        <v>33312.5</v>
      </c>
      <c r="E61" s="14">
        <f t="shared" si="41"/>
        <v>143.53701046608327</v>
      </c>
      <c r="F61" s="11"/>
      <c r="G61" s="18">
        <f t="shared" si="0"/>
        <v>0</v>
      </c>
      <c r="H61" s="11"/>
      <c r="I61" s="14" t="e">
        <f t="shared" si="3"/>
        <v>#DIV/0!</v>
      </c>
      <c r="J61" s="11"/>
      <c r="K61" s="14" t="e">
        <f t="shared" si="4"/>
        <v>#DIV/0!</v>
      </c>
      <c r="L61" s="11"/>
      <c r="M61" s="11" t="e">
        <f t="shared" si="5"/>
        <v>#DIV/0!</v>
      </c>
      <c r="N61" s="11"/>
      <c r="O61" s="11" t="e">
        <f t="shared" si="6"/>
        <v>#DIV/0!</v>
      </c>
      <c r="P61" s="11"/>
      <c r="Q61" s="11" t="e">
        <f t="shared" si="7"/>
        <v>#DIV/0!</v>
      </c>
      <c r="R61" s="11">
        <f t="shared" si="8"/>
        <v>0</v>
      </c>
      <c r="S61" s="11">
        <v>0</v>
      </c>
      <c r="T61" s="11">
        <v>5591.7</v>
      </c>
      <c r="U61" s="14" t="e">
        <f t="shared" si="9"/>
        <v>#DIV/0!</v>
      </c>
      <c r="V61" s="11">
        <v>16200</v>
      </c>
      <c r="W61" s="14">
        <f t="shared" si="10"/>
        <v>289.71511347175277</v>
      </c>
      <c r="X61" s="11">
        <v>18275</v>
      </c>
      <c r="Y61" s="14">
        <f t="shared" si="11"/>
        <v>112.80864197530865</v>
      </c>
      <c r="Z61" s="11"/>
      <c r="AA61" s="14">
        <f t="shared" si="12"/>
        <v>0</v>
      </c>
      <c r="AB61" s="11"/>
      <c r="AC61" s="14" t="e">
        <f t="shared" si="13"/>
        <v>#DIV/0!</v>
      </c>
      <c r="AD61" s="11"/>
      <c r="AE61" s="14" t="e">
        <f t="shared" si="14"/>
        <v>#DIV/0!</v>
      </c>
      <c r="AF61" s="11"/>
      <c r="AG61" s="14" t="e">
        <f t="shared" si="15"/>
        <v>#DIV/0!</v>
      </c>
      <c r="AH61" s="14">
        <f t="shared" si="16"/>
        <v>0</v>
      </c>
      <c r="AI61" s="11">
        <v>0</v>
      </c>
      <c r="AJ61" s="11">
        <v>0</v>
      </c>
      <c r="AK61" s="14" t="e">
        <f t="shared" si="17"/>
        <v>#DIV/0!</v>
      </c>
      <c r="AL61" s="11"/>
      <c r="AM61" s="14" t="e">
        <f t="shared" si="18"/>
        <v>#DIV/0!</v>
      </c>
      <c r="AN61" s="11"/>
      <c r="AO61" s="14" t="e">
        <f t="shared" si="19"/>
        <v>#DIV/0!</v>
      </c>
      <c r="AP61" s="11"/>
      <c r="AQ61" s="14" t="e">
        <f t="shared" si="20"/>
        <v>#DIV/0!</v>
      </c>
      <c r="AR61" s="11"/>
      <c r="AS61" s="14" t="e">
        <f t="shared" si="21"/>
        <v>#DIV/0!</v>
      </c>
      <c r="AT61" s="11"/>
      <c r="AU61" s="14" t="e">
        <f t="shared" si="22"/>
        <v>#DIV/0!</v>
      </c>
      <c r="AV61" s="11"/>
      <c r="AW61" s="14" t="e">
        <f t="shared" si="23"/>
        <v>#DIV/0!</v>
      </c>
      <c r="AX61" s="14" t="e">
        <f t="shared" si="24"/>
        <v>#DIV/0!</v>
      </c>
      <c r="AY61" s="11">
        <v>11770</v>
      </c>
      <c r="AZ61" s="11">
        <v>14386.7</v>
      </c>
      <c r="BA61" s="14">
        <f t="shared" si="25"/>
        <v>122.23194562446899</v>
      </c>
      <c r="BB61" s="11">
        <v>17736.099999999999</v>
      </c>
      <c r="BC61" s="14">
        <f t="shared" si="26"/>
        <v>123.28122502033125</v>
      </c>
      <c r="BD61" s="11">
        <v>18775</v>
      </c>
      <c r="BE61" s="14">
        <f t="shared" si="27"/>
        <v>105.85754478154725</v>
      </c>
      <c r="BF61" s="11"/>
      <c r="BG61" s="14">
        <f t="shared" si="28"/>
        <v>0</v>
      </c>
      <c r="BH61" s="11"/>
      <c r="BI61" s="14" t="e">
        <f t="shared" si="29"/>
        <v>#DIV/0!</v>
      </c>
      <c r="BJ61" s="11"/>
      <c r="BK61" s="14" t="e">
        <f t="shared" si="30"/>
        <v>#DIV/0!</v>
      </c>
      <c r="BL61" s="11"/>
      <c r="BM61" s="14" t="e">
        <f t="shared" si="31"/>
        <v>#DIV/0!</v>
      </c>
      <c r="BN61" s="14">
        <f t="shared" si="32"/>
        <v>0</v>
      </c>
      <c r="BO61" s="11"/>
      <c r="BP61" s="11"/>
      <c r="BQ61" s="14"/>
      <c r="BR61" s="11"/>
      <c r="BS61" s="14"/>
      <c r="BT61" s="11"/>
      <c r="BU61" s="14"/>
      <c r="BV61" s="11"/>
      <c r="BW61" s="14"/>
      <c r="BX61" s="11"/>
      <c r="BY61" s="14"/>
      <c r="BZ61" s="11"/>
      <c r="CA61" s="14"/>
      <c r="CB61" s="11"/>
      <c r="CC61" s="14"/>
      <c r="CD61" s="21"/>
    </row>
    <row r="62" spans="1:82" ht="42" customHeight="1">
      <c r="A62" s="35">
        <f t="shared" si="40"/>
        <v>58</v>
      </c>
      <c r="B62" s="9" t="s">
        <v>60</v>
      </c>
      <c r="C62" s="11">
        <v>29065.8</v>
      </c>
      <c r="D62" s="11">
        <v>38872.800000000003</v>
      </c>
      <c r="E62" s="14">
        <f t="shared" si="41"/>
        <v>133.74068492867909</v>
      </c>
      <c r="F62" s="11"/>
      <c r="G62" s="18">
        <f t="shared" si="0"/>
        <v>0</v>
      </c>
      <c r="H62" s="11"/>
      <c r="I62" s="14" t="e">
        <f t="shared" si="3"/>
        <v>#DIV/0!</v>
      </c>
      <c r="J62" s="11"/>
      <c r="K62" s="14" t="e">
        <f t="shared" si="4"/>
        <v>#DIV/0!</v>
      </c>
      <c r="L62" s="11"/>
      <c r="M62" s="11" t="e">
        <f t="shared" si="5"/>
        <v>#DIV/0!</v>
      </c>
      <c r="N62" s="11"/>
      <c r="O62" s="11" t="e">
        <f t="shared" si="6"/>
        <v>#DIV/0!</v>
      </c>
      <c r="P62" s="11"/>
      <c r="Q62" s="11" t="e">
        <f t="shared" si="7"/>
        <v>#DIV/0!</v>
      </c>
      <c r="R62" s="11">
        <f t="shared" si="8"/>
        <v>0</v>
      </c>
      <c r="S62" s="11">
        <v>15033.8</v>
      </c>
      <c r="T62" s="11">
        <v>18374.5</v>
      </c>
      <c r="U62" s="14">
        <f t="shared" si="9"/>
        <v>122.22126142425735</v>
      </c>
      <c r="V62" s="11"/>
      <c r="W62" s="14">
        <f t="shared" si="10"/>
        <v>0</v>
      </c>
      <c r="X62" s="11"/>
      <c r="Y62" s="14" t="e">
        <f t="shared" si="11"/>
        <v>#DIV/0!</v>
      </c>
      <c r="Z62" s="11"/>
      <c r="AA62" s="14" t="e">
        <f t="shared" si="12"/>
        <v>#DIV/0!</v>
      </c>
      <c r="AB62" s="11"/>
      <c r="AC62" s="14" t="e">
        <f t="shared" si="13"/>
        <v>#DIV/0!</v>
      </c>
      <c r="AD62" s="11"/>
      <c r="AE62" s="14" t="e">
        <f t="shared" si="14"/>
        <v>#DIV/0!</v>
      </c>
      <c r="AF62" s="11"/>
      <c r="AG62" s="14" t="e">
        <f t="shared" si="15"/>
        <v>#DIV/0!</v>
      </c>
      <c r="AH62" s="14">
        <f t="shared" si="16"/>
        <v>0</v>
      </c>
      <c r="AI62" s="11">
        <v>6170.4</v>
      </c>
      <c r="AJ62" s="11">
        <v>8749.7999999999993</v>
      </c>
      <c r="AK62" s="14">
        <f t="shared" si="17"/>
        <v>141.80280046674446</v>
      </c>
      <c r="AL62" s="11"/>
      <c r="AM62" s="14">
        <f t="shared" si="18"/>
        <v>0</v>
      </c>
      <c r="AN62" s="11"/>
      <c r="AO62" s="14" t="e">
        <f t="shared" si="19"/>
        <v>#DIV/0!</v>
      </c>
      <c r="AP62" s="11"/>
      <c r="AQ62" s="14" t="e">
        <f t="shared" si="20"/>
        <v>#DIV/0!</v>
      </c>
      <c r="AR62" s="11"/>
      <c r="AS62" s="14" t="e">
        <f t="shared" si="21"/>
        <v>#DIV/0!</v>
      </c>
      <c r="AT62" s="11"/>
      <c r="AU62" s="14" t="e">
        <f t="shared" si="22"/>
        <v>#DIV/0!</v>
      </c>
      <c r="AV62" s="11"/>
      <c r="AW62" s="14" t="e">
        <f t="shared" si="23"/>
        <v>#DIV/0!</v>
      </c>
      <c r="AX62" s="14">
        <f t="shared" si="24"/>
        <v>0</v>
      </c>
      <c r="AY62" s="11">
        <v>15118.6</v>
      </c>
      <c r="AZ62" s="11">
        <v>19181.3</v>
      </c>
      <c r="BA62" s="14">
        <f t="shared" si="25"/>
        <v>126.87219716111279</v>
      </c>
      <c r="BB62" s="11"/>
      <c r="BC62" s="14">
        <f t="shared" si="26"/>
        <v>0</v>
      </c>
      <c r="BD62" s="11"/>
      <c r="BE62" s="14" t="e">
        <f t="shared" si="27"/>
        <v>#DIV/0!</v>
      </c>
      <c r="BF62" s="11"/>
      <c r="BG62" s="14" t="e">
        <f t="shared" si="28"/>
        <v>#DIV/0!</v>
      </c>
      <c r="BH62" s="11"/>
      <c r="BI62" s="14" t="e">
        <f t="shared" si="29"/>
        <v>#DIV/0!</v>
      </c>
      <c r="BJ62" s="11"/>
      <c r="BK62" s="14" t="e">
        <f t="shared" si="30"/>
        <v>#DIV/0!</v>
      </c>
      <c r="BL62" s="11"/>
      <c r="BM62" s="14" t="e">
        <f t="shared" si="31"/>
        <v>#DIV/0!</v>
      </c>
      <c r="BN62" s="14">
        <f t="shared" si="32"/>
        <v>0</v>
      </c>
      <c r="BO62" s="11"/>
      <c r="BP62" s="11"/>
      <c r="BQ62" s="14"/>
      <c r="BR62" s="11"/>
      <c r="BS62" s="14"/>
      <c r="BT62" s="11"/>
      <c r="BU62" s="14"/>
      <c r="BV62" s="11"/>
      <c r="BW62" s="14"/>
      <c r="BX62" s="11"/>
      <c r="BY62" s="14"/>
      <c r="BZ62" s="11"/>
      <c r="CA62" s="14"/>
      <c r="CB62" s="11"/>
      <c r="CC62" s="14"/>
      <c r="CD62" s="21"/>
    </row>
    <row r="63" spans="1:82" ht="30.75" customHeight="1">
      <c r="A63" s="35">
        <f t="shared" si="40"/>
        <v>59</v>
      </c>
      <c r="B63" s="9" t="s">
        <v>61</v>
      </c>
      <c r="C63" s="11">
        <v>72208.3</v>
      </c>
      <c r="D63" s="11">
        <v>91233.3</v>
      </c>
      <c r="E63" s="14">
        <f t="shared" si="41"/>
        <v>126.34738665776648</v>
      </c>
      <c r="F63" s="11"/>
      <c r="G63" s="18">
        <f t="shared" si="0"/>
        <v>0</v>
      </c>
      <c r="H63" s="11"/>
      <c r="I63" s="14" t="e">
        <f t="shared" si="3"/>
        <v>#DIV/0!</v>
      </c>
      <c r="J63" s="11"/>
      <c r="K63" s="14" t="e">
        <f t="shared" si="4"/>
        <v>#DIV/0!</v>
      </c>
      <c r="L63" s="11"/>
      <c r="M63" s="11" t="e">
        <f t="shared" si="5"/>
        <v>#DIV/0!</v>
      </c>
      <c r="N63" s="11"/>
      <c r="O63" s="11" t="e">
        <f t="shared" si="6"/>
        <v>#DIV/0!</v>
      </c>
      <c r="P63" s="11"/>
      <c r="Q63" s="11" t="e">
        <f t="shared" si="7"/>
        <v>#DIV/0!</v>
      </c>
      <c r="R63" s="11">
        <f t="shared" si="8"/>
        <v>0</v>
      </c>
      <c r="S63" s="11">
        <v>12809.8</v>
      </c>
      <c r="T63" s="11">
        <v>15156.4</v>
      </c>
      <c r="U63" s="14">
        <f t="shared" si="9"/>
        <v>118.31878717856641</v>
      </c>
      <c r="V63" s="11">
        <v>15302.54</v>
      </c>
      <c r="W63" s="14">
        <f t="shared" si="10"/>
        <v>100.96421313768442</v>
      </c>
      <c r="X63" s="11"/>
      <c r="Y63" s="14">
        <f t="shared" si="11"/>
        <v>0</v>
      </c>
      <c r="Z63" s="11"/>
      <c r="AA63" s="14" t="e">
        <f t="shared" si="12"/>
        <v>#DIV/0!</v>
      </c>
      <c r="AB63" s="11"/>
      <c r="AC63" s="14" t="e">
        <f t="shared" si="13"/>
        <v>#DIV/0!</v>
      </c>
      <c r="AD63" s="11"/>
      <c r="AE63" s="14" t="e">
        <f t="shared" si="14"/>
        <v>#DIV/0!</v>
      </c>
      <c r="AF63" s="11"/>
      <c r="AG63" s="14" t="e">
        <f t="shared" si="15"/>
        <v>#DIV/0!</v>
      </c>
      <c r="AH63" s="14">
        <f t="shared" si="16"/>
        <v>0</v>
      </c>
      <c r="AI63" s="11">
        <v>4856.5</v>
      </c>
      <c r="AJ63" s="11">
        <v>6658.3</v>
      </c>
      <c r="AK63" s="14">
        <f t="shared" si="17"/>
        <v>137.10079275198188</v>
      </c>
      <c r="AL63" s="11">
        <v>7066.67</v>
      </c>
      <c r="AM63" s="14">
        <f t="shared" si="18"/>
        <v>106.13324722526771</v>
      </c>
      <c r="AN63" s="11"/>
      <c r="AO63" s="14">
        <f t="shared" si="19"/>
        <v>0</v>
      </c>
      <c r="AP63" s="11"/>
      <c r="AQ63" s="14" t="e">
        <f t="shared" si="20"/>
        <v>#DIV/0!</v>
      </c>
      <c r="AR63" s="11"/>
      <c r="AS63" s="14" t="e">
        <f t="shared" si="21"/>
        <v>#DIV/0!</v>
      </c>
      <c r="AT63" s="11"/>
      <c r="AU63" s="14" t="e">
        <f t="shared" si="22"/>
        <v>#DIV/0!</v>
      </c>
      <c r="AV63" s="11"/>
      <c r="AW63" s="14" t="e">
        <f t="shared" si="23"/>
        <v>#DIV/0!</v>
      </c>
      <c r="AX63" s="14">
        <f t="shared" si="24"/>
        <v>0</v>
      </c>
      <c r="AY63" s="11">
        <v>11609.7</v>
      </c>
      <c r="AZ63" s="11">
        <v>15595</v>
      </c>
      <c r="BA63" s="14">
        <f t="shared" si="25"/>
        <v>134.32732973289575</v>
      </c>
      <c r="BB63" s="11">
        <v>10393.799999999999</v>
      </c>
      <c r="BC63" s="14">
        <f t="shared" si="26"/>
        <v>66.648284706636744</v>
      </c>
      <c r="BD63" s="11"/>
      <c r="BE63" s="14">
        <f t="shared" si="27"/>
        <v>0</v>
      </c>
      <c r="BF63" s="11"/>
      <c r="BG63" s="14" t="e">
        <f t="shared" si="28"/>
        <v>#DIV/0!</v>
      </c>
      <c r="BH63" s="11"/>
      <c r="BI63" s="14" t="e">
        <f t="shared" si="29"/>
        <v>#DIV/0!</v>
      </c>
      <c r="BJ63" s="11"/>
      <c r="BK63" s="14" t="e">
        <f t="shared" si="30"/>
        <v>#DIV/0!</v>
      </c>
      <c r="BL63" s="11"/>
      <c r="BM63" s="14" t="e">
        <f t="shared" si="31"/>
        <v>#DIV/0!</v>
      </c>
      <c r="BN63" s="14">
        <f t="shared" si="32"/>
        <v>0</v>
      </c>
      <c r="BO63" s="11"/>
      <c r="BP63" s="11"/>
      <c r="BQ63" s="14"/>
      <c r="BR63" s="11"/>
      <c r="BS63" s="14"/>
      <c r="BT63" s="11"/>
      <c r="BU63" s="14"/>
      <c r="BV63" s="11"/>
      <c r="BW63" s="14"/>
      <c r="BX63" s="11"/>
      <c r="BY63" s="14"/>
      <c r="BZ63" s="11"/>
      <c r="CA63" s="14"/>
      <c r="CB63" s="11"/>
      <c r="CC63" s="14"/>
      <c r="CD63" s="21"/>
    </row>
    <row r="64" spans="1:82" ht="33" customHeight="1">
      <c r="A64" s="35">
        <f t="shared" si="40"/>
        <v>60</v>
      </c>
      <c r="B64" s="9" t="s">
        <v>62</v>
      </c>
      <c r="C64" s="11">
        <v>25272.400000000001</v>
      </c>
      <c r="D64" s="11">
        <v>31994.6</v>
      </c>
      <c r="E64" s="14">
        <f t="shared" si="41"/>
        <v>126.59897754071633</v>
      </c>
      <c r="F64" s="11">
        <v>34803.72</v>
      </c>
      <c r="G64" s="18">
        <f t="shared" si="0"/>
        <v>108.7799816218987</v>
      </c>
      <c r="H64" s="11">
        <v>33458.879999999997</v>
      </c>
      <c r="I64" s="14">
        <f t="shared" si="3"/>
        <v>96.135930297106171</v>
      </c>
      <c r="J64" s="11"/>
      <c r="K64" s="14">
        <f t="shared" si="4"/>
        <v>0</v>
      </c>
      <c r="L64" s="11"/>
      <c r="M64" s="11" t="e">
        <f t="shared" si="5"/>
        <v>#DIV/0!</v>
      </c>
      <c r="N64" s="11"/>
      <c r="O64" s="11" t="e">
        <f t="shared" si="6"/>
        <v>#DIV/0!</v>
      </c>
      <c r="P64" s="11"/>
      <c r="Q64" s="11" t="e">
        <f t="shared" si="7"/>
        <v>#DIV/0!</v>
      </c>
      <c r="R64" s="11">
        <f t="shared" si="8"/>
        <v>0</v>
      </c>
      <c r="S64" s="11">
        <v>11900.5</v>
      </c>
      <c r="T64" s="11">
        <v>14738.5</v>
      </c>
      <c r="U64" s="14">
        <f t="shared" si="9"/>
        <v>123.84773749002143</v>
      </c>
      <c r="V64" s="11">
        <v>18126.52</v>
      </c>
      <c r="W64" s="14">
        <f t="shared" si="10"/>
        <v>122.98754961495403</v>
      </c>
      <c r="X64" s="11">
        <v>19255.669999999998</v>
      </c>
      <c r="Y64" s="14">
        <f t="shared" si="11"/>
        <v>106.22927070391887</v>
      </c>
      <c r="Z64" s="11"/>
      <c r="AA64" s="14">
        <f t="shared" si="12"/>
        <v>0</v>
      </c>
      <c r="AB64" s="11"/>
      <c r="AC64" s="14" t="e">
        <f t="shared" si="13"/>
        <v>#DIV/0!</v>
      </c>
      <c r="AD64" s="11"/>
      <c r="AE64" s="14" t="e">
        <f t="shared" si="14"/>
        <v>#DIV/0!</v>
      </c>
      <c r="AF64" s="11"/>
      <c r="AG64" s="14" t="e">
        <f t="shared" si="15"/>
        <v>#DIV/0!</v>
      </c>
      <c r="AH64" s="14">
        <f t="shared" si="16"/>
        <v>0</v>
      </c>
      <c r="AI64" s="11">
        <v>6767.4</v>
      </c>
      <c r="AJ64" s="11">
        <v>7767.5</v>
      </c>
      <c r="AK64" s="14">
        <f t="shared" si="17"/>
        <v>114.77820137719065</v>
      </c>
      <c r="AL64" s="11">
        <v>10902.63</v>
      </c>
      <c r="AM64" s="14">
        <f t="shared" si="18"/>
        <v>140.3621499839073</v>
      </c>
      <c r="AN64" s="11">
        <v>10918.75</v>
      </c>
      <c r="AO64" s="14">
        <f t="shared" si="19"/>
        <v>100.14785423333636</v>
      </c>
      <c r="AP64" s="11"/>
      <c r="AQ64" s="14">
        <f t="shared" si="20"/>
        <v>0</v>
      </c>
      <c r="AR64" s="11"/>
      <c r="AS64" s="14" t="e">
        <f t="shared" si="21"/>
        <v>#DIV/0!</v>
      </c>
      <c r="AT64" s="11"/>
      <c r="AU64" s="14" t="e">
        <f t="shared" si="22"/>
        <v>#DIV/0!</v>
      </c>
      <c r="AV64" s="11"/>
      <c r="AW64" s="14" t="e">
        <f t="shared" si="23"/>
        <v>#DIV/0!</v>
      </c>
      <c r="AX64" s="14">
        <f t="shared" si="24"/>
        <v>0</v>
      </c>
      <c r="AY64" s="11">
        <v>20659.7</v>
      </c>
      <c r="AZ64" s="11">
        <v>16709.8</v>
      </c>
      <c r="BA64" s="14">
        <f t="shared" si="25"/>
        <v>80.881135737692205</v>
      </c>
      <c r="BB64" s="11">
        <v>17723.96</v>
      </c>
      <c r="BC64" s="14">
        <f t="shared" si="26"/>
        <v>106.06925277382135</v>
      </c>
      <c r="BD64" s="11">
        <v>18779.939999999999</v>
      </c>
      <c r="BE64" s="14">
        <f t="shared" si="27"/>
        <v>105.95792362429164</v>
      </c>
      <c r="BF64" s="11"/>
      <c r="BG64" s="14">
        <f t="shared" si="28"/>
        <v>0</v>
      </c>
      <c r="BH64" s="11"/>
      <c r="BI64" s="14" t="e">
        <f t="shared" si="29"/>
        <v>#DIV/0!</v>
      </c>
      <c r="BJ64" s="11"/>
      <c r="BK64" s="14" t="e">
        <f t="shared" si="30"/>
        <v>#DIV/0!</v>
      </c>
      <c r="BL64" s="11"/>
      <c r="BM64" s="14" t="e">
        <f t="shared" si="31"/>
        <v>#DIV/0!</v>
      </c>
      <c r="BN64" s="14">
        <f t="shared" si="32"/>
        <v>0</v>
      </c>
      <c r="BO64" s="11"/>
      <c r="BP64" s="11"/>
      <c r="BQ64" s="14"/>
      <c r="BR64" s="11"/>
      <c r="BS64" s="14"/>
      <c r="BT64" s="11"/>
      <c r="BU64" s="14"/>
      <c r="BV64" s="11"/>
      <c r="BW64" s="14"/>
      <c r="BX64" s="11"/>
      <c r="BY64" s="14"/>
      <c r="BZ64" s="11"/>
      <c r="CA64" s="14"/>
      <c r="CB64" s="11"/>
      <c r="CC64" s="14"/>
      <c r="CD64" s="21"/>
    </row>
    <row r="65" spans="1:82" ht="29.25" customHeight="1">
      <c r="A65" s="35">
        <f t="shared" si="40"/>
        <v>61</v>
      </c>
      <c r="B65" s="9" t="s">
        <v>63</v>
      </c>
      <c r="C65" s="11">
        <v>24647.200000000001</v>
      </c>
      <c r="D65" s="11">
        <v>30725</v>
      </c>
      <c r="E65" s="14">
        <f t="shared" si="41"/>
        <v>124.65919049628356</v>
      </c>
      <c r="F65" s="11">
        <v>25283.33</v>
      </c>
      <c r="G65" s="18">
        <f t="shared" si="0"/>
        <v>82.289113100081366</v>
      </c>
      <c r="H65" s="11">
        <v>26250</v>
      </c>
      <c r="I65" s="14">
        <f t="shared" si="3"/>
        <v>103.82334921863536</v>
      </c>
      <c r="J65" s="11">
        <v>24800</v>
      </c>
      <c r="K65" s="14">
        <f t="shared" si="4"/>
        <v>94.476190476190482</v>
      </c>
      <c r="L65" s="11"/>
      <c r="M65" s="11">
        <f t="shared" si="5"/>
        <v>0</v>
      </c>
      <c r="N65" s="11"/>
      <c r="O65" s="11" t="e">
        <f t="shared" si="6"/>
        <v>#DIV/0!</v>
      </c>
      <c r="P65" s="11"/>
      <c r="Q65" s="11" t="e">
        <f t="shared" si="7"/>
        <v>#DIV/0!</v>
      </c>
      <c r="R65" s="11">
        <f t="shared" si="8"/>
        <v>0</v>
      </c>
      <c r="S65" s="11">
        <v>15384.9</v>
      </c>
      <c r="T65" s="11">
        <v>17028.7</v>
      </c>
      <c r="U65" s="14">
        <f t="shared" si="9"/>
        <v>110.68450233670677</v>
      </c>
      <c r="V65" s="11">
        <v>17619.439999999999</v>
      </c>
      <c r="W65" s="14">
        <f t="shared" si="10"/>
        <v>103.46908454550258</v>
      </c>
      <c r="X65" s="11">
        <v>16513.330000000002</v>
      </c>
      <c r="Y65" s="14">
        <f t="shared" si="11"/>
        <v>93.722218186276081</v>
      </c>
      <c r="Z65" s="11">
        <v>15996.1</v>
      </c>
      <c r="AA65" s="14">
        <f t="shared" si="12"/>
        <v>96.867803162657069</v>
      </c>
      <c r="AB65" s="11"/>
      <c r="AC65" s="14">
        <f t="shared" si="13"/>
        <v>0</v>
      </c>
      <c r="AD65" s="11"/>
      <c r="AE65" s="14" t="e">
        <f t="shared" si="14"/>
        <v>#DIV/0!</v>
      </c>
      <c r="AF65" s="11"/>
      <c r="AG65" s="14" t="e">
        <f t="shared" si="15"/>
        <v>#DIV/0!</v>
      </c>
      <c r="AH65" s="14">
        <f t="shared" si="16"/>
        <v>0</v>
      </c>
      <c r="AI65" s="11">
        <v>9551.9</v>
      </c>
      <c r="AJ65" s="11">
        <v>11557.4</v>
      </c>
      <c r="AK65" s="14">
        <f t="shared" si="17"/>
        <v>120.99582282059067</v>
      </c>
      <c r="AL65" s="11">
        <v>12873.15</v>
      </c>
      <c r="AM65" s="14">
        <f t="shared" si="18"/>
        <v>111.38448093861942</v>
      </c>
      <c r="AN65" s="11">
        <v>15037.5</v>
      </c>
      <c r="AO65" s="14">
        <f t="shared" si="19"/>
        <v>116.81290127125064</v>
      </c>
      <c r="AP65" s="11">
        <v>12219.4</v>
      </c>
      <c r="AQ65" s="14">
        <f t="shared" si="20"/>
        <v>81.259517871986702</v>
      </c>
      <c r="AR65" s="11"/>
      <c r="AS65" s="14">
        <f t="shared" si="21"/>
        <v>0</v>
      </c>
      <c r="AT65" s="11"/>
      <c r="AU65" s="14" t="e">
        <f t="shared" si="22"/>
        <v>#DIV/0!</v>
      </c>
      <c r="AV65" s="11"/>
      <c r="AW65" s="14" t="e">
        <f t="shared" si="23"/>
        <v>#DIV/0!</v>
      </c>
      <c r="AX65" s="14">
        <f t="shared" si="24"/>
        <v>0</v>
      </c>
      <c r="AY65" s="11">
        <v>14593.1</v>
      </c>
      <c r="AZ65" s="11">
        <v>15709.9</v>
      </c>
      <c r="BA65" s="14">
        <f t="shared" si="25"/>
        <v>107.65293186505951</v>
      </c>
      <c r="BB65" s="11">
        <v>17885.23</v>
      </c>
      <c r="BC65" s="14">
        <f t="shared" si="26"/>
        <v>113.84687362745784</v>
      </c>
      <c r="BD65" s="11">
        <v>13151.6</v>
      </c>
      <c r="BE65" s="14">
        <f t="shared" si="27"/>
        <v>73.533300941614954</v>
      </c>
      <c r="BF65" s="11">
        <v>14018.1</v>
      </c>
      <c r="BG65" s="14">
        <f t="shared" si="28"/>
        <v>106.58855196325922</v>
      </c>
      <c r="BH65" s="11"/>
      <c r="BI65" s="14">
        <f t="shared" si="29"/>
        <v>0</v>
      </c>
      <c r="BJ65" s="11"/>
      <c r="BK65" s="14" t="e">
        <f t="shared" si="30"/>
        <v>#DIV/0!</v>
      </c>
      <c r="BL65" s="11"/>
      <c r="BM65" s="14" t="e">
        <f t="shared" si="31"/>
        <v>#DIV/0!</v>
      </c>
      <c r="BN65" s="14">
        <f t="shared" si="32"/>
        <v>0</v>
      </c>
      <c r="BO65" s="11"/>
      <c r="BP65" s="11"/>
      <c r="BQ65" s="14"/>
      <c r="BR65" s="11"/>
      <c r="BS65" s="14"/>
      <c r="BT65" s="11"/>
      <c r="BU65" s="14"/>
      <c r="BV65" s="11"/>
      <c r="BW65" s="14"/>
      <c r="BX65" s="11"/>
      <c r="BY65" s="14"/>
      <c r="BZ65" s="11"/>
      <c r="CA65" s="14"/>
      <c r="CB65" s="11"/>
      <c r="CC65" s="14"/>
      <c r="CD65" s="21"/>
    </row>
    <row r="66" spans="1:82" ht="42.75" customHeight="1">
      <c r="A66" s="35">
        <f t="shared" si="40"/>
        <v>62</v>
      </c>
      <c r="B66" s="9" t="s">
        <v>64</v>
      </c>
      <c r="C66" s="11">
        <v>51366.7</v>
      </c>
      <c r="D66" s="11">
        <v>52081.9</v>
      </c>
      <c r="E66" s="14">
        <f t="shared" si="41"/>
        <v>101.39234173112153</v>
      </c>
      <c r="F66" s="11">
        <v>54818.75</v>
      </c>
      <c r="G66" s="18">
        <f t="shared" si="0"/>
        <v>105.25489661475484</v>
      </c>
      <c r="H66" s="11">
        <v>47053.57</v>
      </c>
      <c r="I66" s="14">
        <f t="shared" si="3"/>
        <v>85.834810169878011</v>
      </c>
      <c r="J66" s="11">
        <v>37198.400000000001</v>
      </c>
      <c r="K66" s="14">
        <f t="shared" si="4"/>
        <v>79.055425550069842</v>
      </c>
      <c r="L66" s="11"/>
      <c r="M66" s="11">
        <f t="shared" si="5"/>
        <v>0</v>
      </c>
      <c r="N66" s="11"/>
      <c r="O66" s="11" t="e">
        <f t="shared" si="6"/>
        <v>#DIV/0!</v>
      </c>
      <c r="P66" s="11"/>
      <c r="Q66" s="11" t="e">
        <f t="shared" si="7"/>
        <v>#DIV/0!</v>
      </c>
      <c r="R66" s="11">
        <f t="shared" si="8"/>
        <v>0</v>
      </c>
      <c r="S66" s="11">
        <v>22115</v>
      </c>
      <c r="T66" s="11">
        <v>23574.400000000001</v>
      </c>
      <c r="U66" s="14">
        <f t="shared" si="9"/>
        <v>106.59914085462357</v>
      </c>
      <c r="V66" s="11">
        <v>22471.43</v>
      </c>
      <c r="W66" s="14">
        <f t="shared" si="10"/>
        <v>95.321323130175102</v>
      </c>
      <c r="X66" s="11">
        <v>21756.55</v>
      </c>
      <c r="Y66" s="14">
        <f t="shared" si="11"/>
        <v>96.818716031868007</v>
      </c>
      <c r="Z66" s="11">
        <v>22979.200000000001</v>
      </c>
      <c r="AA66" s="14">
        <f t="shared" si="12"/>
        <v>105.61968694485108</v>
      </c>
      <c r="AB66" s="11"/>
      <c r="AC66" s="14">
        <f t="shared" si="13"/>
        <v>0</v>
      </c>
      <c r="AD66" s="11"/>
      <c r="AE66" s="14" t="e">
        <f t="shared" si="14"/>
        <v>#DIV/0!</v>
      </c>
      <c r="AF66" s="11"/>
      <c r="AG66" s="14" t="e">
        <f t="shared" si="15"/>
        <v>#DIV/0!</v>
      </c>
      <c r="AH66" s="14">
        <f t="shared" si="16"/>
        <v>0</v>
      </c>
      <c r="AI66" s="11">
        <v>13192.9</v>
      </c>
      <c r="AJ66" s="11">
        <v>9797</v>
      </c>
      <c r="AK66" s="14">
        <f t="shared" si="17"/>
        <v>74.259639654662735</v>
      </c>
      <c r="AL66" s="11">
        <v>12104.55</v>
      </c>
      <c r="AM66" s="14">
        <f t="shared" si="18"/>
        <v>123.55363886904154</v>
      </c>
      <c r="AN66" s="11">
        <v>12880.21</v>
      </c>
      <c r="AO66" s="14">
        <f t="shared" si="19"/>
        <v>106.40800360195132</v>
      </c>
      <c r="AP66" s="11">
        <v>12327.2</v>
      </c>
      <c r="AQ66" s="14">
        <f t="shared" si="20"/>
        <v>95.706514101866375</v>
      </c>
      <c r="AR66" s="11"/>
      <c r="AS66" s="14">
        <f t="shared" si="21"/>
        <v>0</v>
      </c>
      <c r="AT66" s="11"/>
      <c r="AU66" s="14" t="e">
        <f t="shared" si="22"/>
        <v>#DIV/0!</v>
      </c>
      <c r="AV66" s="11"/>
      <c r="AW66" s="14" t="e">
        <f t="shared" si="23"/>
        <v>#DIV/0!</v>
      </c>
      <c r="AX66" s="14">
        <f t="shared" si="24"/>
        <v>0</v>
      </c>
      <c r="AY66" s="11">
        <v>44695.8</v>
      </c>
      <c r="AZ66" s="11">
        <v>44541.7</v>
      </c>
      <c r="BA66" s="14">
        <f t="shared" si="25"/>
        <v>99.655224875715376</v>
      </c>
      <c r="BB66" s="11">
        <v>31718.799999999999</v>
      </c>
      <c r="BC66" s="14">
        <f t="shared" si="26"/>
        <v>71.211471497495609</v>
      </c>
      <c r="BD66" s="11">
        <v>24133.33</v>
      </c>
      <c r="BE66" s="14">
        <f t="shared" si="27"/>
        <v>76.085255432109662</v>
      </c>
      <c r="BF66" s="11">
        <v>21676</v>
      </c>
      <c r="BG66" s="14">
        <f t="shared" si="28"/>
        <v>89.81769196376959</v>
      </c>
      <c r="BH66" s="11"/>
      <c r="BI66" s="14">
        <f t="shared" si="29"/>
        <v>0</v>
      </c>
      <c r="BJ66" s="11"/>
      <c r="BK66" s="14" t="e">
        <f t="shared" si="30"/>
        <v>#DIV/0!</v>
      </c>
      <c r="BL66" s="11"/>
      <c r="BM66" s="14" t="e">
        <f t="shared" si="31"/>
        <v>#DIV/0!</v>
      </c>
      <c r="BN66" s="14">
        <f t="shared" si="32"/>
        <v>0</v>
      </c>
      <c r="BO66" s="11"/>
      <c r="BP66" s="11"/>
      <c r="BQ66" s="14"/>
      <c r="BR66" s="11"/>
      <c r="BS66" s="14"/>
      <c r="BT66" s="11"/>
      <c r="BU66" s="14"/>
      <c r="BV66" s="11"/>
      <c r="BW66" s="14"/>
      <c r="BX66" s="11"/>
      <c r="BY66" s="14"/>
      <c r="BZ66" s="11"/>
      <c r="CA66" s="14"/>
      <c r="CB66" s="11"/>
      <c r="CC66" s="14"/>
      <c r="CD66" s="21"/>
    </row>
    <row r="67" spans="1:82" ht="29.25" customHeight="1">
      <c r="A67" s="35">
        <f t="shared" si="40"/>
        <v>63</v>
      </c>
      <c r="B67" s="9" t="s">
        <v>75</v>
      </c>
      <c r="C67" s="11">
        <v>32895</v>
      </c>
      <c r="D67" s="11"/>
      <c r="E67" s="14">
        <f t="shared" si="41"/>
        <v>0</v>
      </c>
      <c r="F67" s="11"/>
      <c r="G67" s="18" t="e">
        <f t="shared" si="0"/>
        <v>#DIV/0!</v>
      </c>
      <c r="H67" s="11"/>
      <c r="I67" s="14" t="e">
        <f t="shared" si="3"/>
        <v>#DIV/0!</v>
      </c>
      <c r="J67" s="11"/>
      <c r="K67" s="14" t="e">
        <f t="shared" si="4"/>
        <v>#DIV/0!</v>
      </c>
      <c r="L67" s="11"/>
      <c r="M67" s="11" t="e">
        <f t="shared" si="5"/>
        <v>#DIV/0!</v>
      </c>
      <c r="N67" s="11"/>
      <c r="O67" s="11" t="e">
        <f t="shared" si="6"/>
        <v>#DIV/0!</v>
      </c>
      <c r="P67" s="11"/>
      <c r="Q67" s="11" t="e">
        <f t="shared" si="7"/>
        <v>#DIV/0!</v>
      </c>
      <c r="R67" s="11">
        <f t="shared" si="8"/>
        <v>0</v>
      </c>
      <c r="S67" s="11">
        <v>19432.8</v>
      </c>
      <c r="T67" s="11"/>
      <c r="U67" s="14">
        <f t="shared" si="9"/>
        <v>0</v>
      </c>
      <c r="V67" s="11"/>
      <c r="W67" s="14" t="e">
        <f t="shared" si="10"/>
        <v>#DIV/0!</v>
      </c>
      <c r="X67" s="11"/>
      <c r="Y67" s="14" t="e">
        <f t="shared" si="11"/>
        <v>#DIV/0!</v>
      </c>
      <c r="Z67" s="11"/>
      <c r="AA67" s="14" t="e">
        <f t="shared" si="12"/>
        <v>#DIV/0!</v>
      </c>
      <c r="AB67" s="11"/>
      <c r="AC67" s="14" t="e">
        <f t="shared" si="13"/>
        <v>#DIV/0!</v>
      </c>
      <c r="AD67" s="11"/>
      <c r="AE67" s="14" t="e">
        <f t="shared" si="14"/>
        <v>#DIV/0!</v>
      </c>
      <c r="AF67" s="11"/>
      <c r="AG67" s="14" t="e">
        <f t="shared" si="15"/>
        <v>#DIV/0!</v>
      </c>
      <c r="AH67" s="14">
        <f t="shared" si="16"/>
        <v>0</v>
      </c>
      <c r="AI67" s="11">
        <v>7636.1</v>
      </c>
      <c r="AJ67" s="11"/>
      <c r="AK67" s="14">
        <f t="shared" si="17"/>
        <v>0</v>
      </c>
      <c r="AL67" s="11"/>
      <c r="AM67" s="14" t="e">
        <f t="shared" si="18"/>
        <v>#DIV/0!</v>
      </c>
      <c r="AN67" s="11"/>
      <c r="AO67" s="14" t="e">
        <f t="shared" si="19"/>
        <v>#DIV/0!</v>
      </c>
      <c r="AP67" s="11"/>
      <c r="AQ67" s="14" t="e">
        <f t="shared" si="20"/>
        <v>#DIV/0!</v>
      </c>
      <c r="AR67" s="11"/>
      <c r="AS67" s="14" t="e">
        <f t="shared" si="21"/>
        <v>#DIV/0!</v>
      </c>
      <c r="AT67" s="11"/>
      <c r="AU67" s="14" t="e">
        <f t="shared" si="22"/>
        <v>#DIV/0!</v>
      </c>
      <c r="AV67" s="11"/>
      <c r="AW67" s="14" t="e">
        <f t="shared" si="23"/>
        <v>#DIV/0!</v>
      </c>
      <c r="AX67" s="14">
        <f t="shared" si="24"/>
        <v>0</v>
      </c>
      <c r="AY67" s="11">
        <v>21967.7</v>
      </c>
      <c r="AZ67" s="11"/>
      <c r="BA67" s="14">
        <f t="shared" si="25"/>
        <v>0</v>
      </c>
      <c r="BB67" s="11"/>
      <c r="BC67" s="14" t="e">
        <f t="shared" si="26"/>
        <v>#DIV/0!</v>
      </c>
      <c r="BD67" s="11">
        <v>8946.2800000000007</v>
      </c>
      <c r="BE67" s="14" t="e">
        <f t="shared" si="27"/>
        <v>#DIV/0!</v>
      </c>
      <c r="BF67" s="11"/>
      <c r="BG67" s="14">
        <f t="shared" si="28"/>
        <v>0</v>
      </c>
      <c r="BH67" s="11"/>
      <c r="BI67" s="14" t="e">
        <f t="shared" si="29"/>
        <v>#DIV/0!</v>
      </c>
      <c r="BJ67" s="11"/>
      <c r="BK67" s="14" t="e">
        <f t="shared" si="30"/>
        <v>#DIV/0!</v>
      </c>
      <c r="BL67" s="11"/>
      <c r="BM67" s="14" t="e">
        <f t="shared" si="31"/>
        <v>#DIV/0!</v>
      </c>
      <c r="BN67" s="14">
        <f t="shared" si="32"/>
        <v>0</v>
      </c>
      <c r="BO67" s="11"/>
      <c r="BP67" s="11"/>
      <c r="BQ67" s="14"/>
      <c r="BR67" s="11"/>
      <c r="BS67" s="14"/>
      <c r="BT67" s="11"/>
      <c r="BU67" s="14"/>
      <c r="BV67" s="11"/>
      <c r="BW67" s="14"/>
      <c r="BX67" s="11"/>
      <c r="BY67" s="14"/>
      <c r="BZ67" s="11"/>
      <c r="CA67" s="14"/>
      <c r="CB67" s="11"/>
      <c r="CC67" s="14"/>
      <c r="CD67" s="21"/>
    </row>
    <row r="68" spans="1:82">
      <c r="A68" s="35">
        <f t="shared" si="40"/>
        <v>64</v>
      </c>
      <c r="B68" s="9" t="s">
        <v>65</v>
      </c>
      <c r="C68" s="11">
        <v>18195</v>
      </c>
      <c r="D68" s="11">
        <v>25418.9</v>
      </c>
      <c r="E68" s="14">
        <f t="shared" si="41"/>
        <v>139.70266556746361</v>
      </c>
      <c r="F68" s="11">
        <v>28336.81</v>
      </c>
      <c r="G68" s="18">
        <f t="shared" si="0"/>
        <v>111.4792929670442</v>
      </c>
      <c r="H68" s="11">
        <v>25090.28</v>
      </c>
      <c r="I68" s="14">
        <f t="shared" si="3"/>
        <v>88.54306465688974</v>
      </c>
      <c r="J68" s="11"/>
      <c r="K68" s="14">
        <f t="shared" si="4"/>
        <v>0</v>
      </c>
      <c r="L68" s="11"/>
      <c r="M68" s="11" t="e">
        <f t="shared" si="5"/>
        <v>#DIV/0!</v>
      </c>
      <c r="N68" s="11"/>
      <c r="O68" s="11" t="e">
        <f t="shared" si="6"/>
        <v>#DIV/0!</v>
      </c>
      <c r="P68" s="11"/>
      <c r="Q68" s="11" t="e">
        <f t="shared" si="7"/>
        <v>#DIV/0!</v>
      </c>
      <c r="R68" s="11">
        <f t="shared" si="8"/>
        <v>0</v>
      </c>
      <c r="S68" s="11">
        <v>11944.5</v>
      </c>
      <c r="T68" s="11">
        <v>15137.2</v>
      </c>
      <c r="U68" s="14">
        <f t="shared" si="9"/>
        <v>126.72945707229269</v>
      </c>
      <c r="V68" s="11">
        <v>18700.419999999998</v>
      </c>
      <c r="W68" s="14">
        <f t="shared" si="10"/>
        <v>123.53949211214754</v>
      </c>
      <c r="X68" s="11">
        <v>17309.96</v>
      </c>
      <c r="Y68" s="14">
        <f t="shared" si="11"/>
        <v>92.564552026104224</v>
      </c>
      <c r="Z68" s="11"/>
      <c r="AA68" s="14">
        <f t="shared" si="12"/>
        <v>0</v>
      </c>
      <c r="AB68" s="11"/>
      <c r="AC68" s="14" t="e">
        <f t="shared" si="13"/>
        <v>#DIV/0!</v>
      </c>
      <c r="AD68" s="11"/>
      <c r="AE68" s="14" t="e">
        <f t="shared" si="14"/>
        <v>#DIV/0!</v>
      </c>
      <c r="AF68" s="11"/>
      <c r="AG68" s="14" t="e">
        <f t="shared" si="15"/>
        <v>#DIV/0!</v>
      </c>
      <c r="AH68" s="14">
        <f t="shared" si="16"/>
        <v>0</v>
      </c>
      <c r="AI68" s="11">
        <v>4718.6000000000004</v>
      </c>
      <c r="AJ68" s="11">
        <v>6175.8</v>
      </c>
      <c r="AK68" s="14">
        <f t="shared" si="17"/>
        <v>130.88204128343153</v>
      </c>
      <c r="AL68" s="11">
        <v>7804.76</v>
      </c>
      <c r="AM68" s="14">
        <f t="shared" si="18"/>
        <v>126.37650182972247</v>
      </c>
      <c r="AN68" s="11">
        <v>11627.5</v>
      </c>
      <c r="AO68" s="14">
        <f t="shared" si="19"/>
        <v>148.97959706640563</v>
      </c>
      <c r="AP68" s="11"/>
      <c r="AQ68" s="14">
        <f t="shared" si="20"/>
        <v>0</v>
      </c>
      <c r="AR68" s="11"/>
      <c r="AS68" s="14" t="e">
        <f t="shared" si="21"/>
        <v>#DIV/0!</v>
      </c>
      <c r="AT68" s="11"/>
      <c r="AU68" s="14" t="e">
        <f t="shared" si="22"/>
        <v>#DIV/0!</v>
      </c>
      <c r="AV68" s="11"/>
      <c r="AW68" s="14" t="e">
        <f t="shared" si="23"/>
        <v>#DIV/0!</v>
      </c>
      <c r="AX68" s="14">
        <f t="shared" si="24"/>
        <v>0</v>
      </c>
      <c r="AY68" s="11">
        <v>9773.7999999999993</v>
      </c>
      <c r="AZ68" s="11">
        <v>11049.5</v>
      </c>
      <c r="BA68" s="14">
        <f t="shared" si="25"/>
        <v>113.0522417074219</v>
      </c>
      <c r="BB68" s="11">
        <v>9639.44</v>
      </c>
      <c r="BC68" s="14">
        <f t="shared" si="26"/>
        <v>87.238698583646325</v>
      </c>
      <c r="BD68" s="11">
        <v>8554.7999999999993</v>
      </c>
      <c r="BE68" s="14">
        <f t="shared" si="27"/>
        <v>88.747894068535089</v>
      </c>
      <c r="BF68" s="11"/>
      <c r="BG68" s="14">
        <f t="shared" si="28"/>
        <v>0</v>
      </c>
      <c r="BH68" s="11"/>
      <c r="BI68" s="14" t="e">
        <f t="shared" si="29"/>
        <v>#DIV/0!</v>
      </c>
      <c r="BJ68" s="11"/>
      <c r="BK68" s="14" t="e">
        <f t="shared" si="30"/>
        <v>#DIV/0!</v>
      </c>
      <c r="BL68" s="11"/>
      <c r="BM68" s="14" t="e">
        <f t="shared" si="31"/>
        <v>#DIV/0!</v>
      </c>
      <c r="BN68" s="14">
        <f t="shared" si="32"/>
        <v>0</v>
      </c>
      <c r="BO68" s="11"/>
      <c r="BP68" s="11"/>
      <c r="BQ68" s="14"/>
      <c r="BR68" s="11"/>
      <c r="BS68" s="14"/>
      <c r="BT68" s="11"/>
      <c r="BU68" s="14"/>
      <c r="BV68" s="11"/>
      <c r="BW68" s="14"/>
      <c r="BX68" s="11"/>
      <c r="BY68" s="14"/>
      <c r="BZ68" s="11"/>
      <c r="CA68" s="14"/>
      <c r="CB68" s="11"/>
      <c r="CC68" s="14"/>
      <c r="CD68" s="21"/>
    </row>
    <row r="69" spans="1:82">
      <c r="A69" s="35">
        <f t="shared" si="40"/>
        <v>65</v>
      </c>
      <c r="B69" s="9" t="s">
        <v>66</v>
      </c>
      <c r="C69" s="11">
        <v>34943.5</v>
      </c>
      <c r="D69" s="11">
        <v>43218.8</v>
      </c>
      <c r="E69" s="14">
        <f t="shared" si="41"/>
        <v>123.68194370913046</v>
      </c>
      <c r="F69" s="11">
        <v>39071.43</v>
      </c>
      <c r="G69" s="18">
        <f t="shared" ref="G69:G72" si="42">F69/D69*100</f>
        <v>90.403782613122061</v>
      </c>
      <c r="H69" s="11">
        <v>39498.629999999997</v>
      </c>
      <c r="I69" s="14">
        <f t="shared" si="3"/>
        <v>101.09338204411765</v>
      </c>
      <c r="J69" s="11">
        <v>29895.200000000001</v>
      </c>
      <c r="K69" s="14">
        <f t="shared" si="4"/>
        <v>75.686675715081776</v>
      </c>
      <c r="L69" s="11">
        <v>35913.9</v>
      </c>
      <c r="M69" s="11">
        <f t="shared" si="5"/>
        <v>120.13266343760871</v>
      </c>
      <c r="N69" s="11"/>
      <c r="O69" s="11">
        <f t="shared" si="6"/>
        <v>0</v>
      </c>
      <c r="P69" s="11"/>
      <c r="Q69" s="11" t="e">
        <f t="shared" si="7"/>
        <v>#DIV/0!</v>
      </c>
      <c r="R69" s="11">
        <f t="shared" si="8"/>
        <v>0</v>
      </c>
      <c r="S69" s="11">
        <v>10409.1</v>
      </c>
      <c r="T69" s="11">
        <v>13312.9</v>
      </c>
      <c r="U69" s="14">
        <f t="shared" si="9"/>
        <v>127.89674419498323</v>
      </c>
      <c r="V69" s="11">
        <v>14900.16</v>
      </c>
      <c r="W69" s="14">
        <f t="shared" si="10"/>
        <v>111.92272157080727</v>
      </c>
      <c r="X69" s="11">
        <v>16585.13</v>
      </c>
      <c r="Y69" s="14">
        <f t="shared" si="11"/>
        <v>111.30840205742759</v>
      </c>
      <c r="Z69" s="11">
        <v>16038.5</v>
      </c>
      <c r="AA69" s="14">
        <f t="shared" si="12"/>
        <v>96.704095777362014</v>
      </c>
      <c r="AB69" s="11">
        <v>18420.3</v>
      </c>
      <c r="AC69" s="14">
        <f t="shared" si="13"/>
        <v>114.85051594600493</v>
      </c>
      <c r="AD69" s="11"/>
      <c r="AE69" s="14">
        <f t="shared" si="14"/>
        <v>0</v>
      </c>
      <c r="AF69" s="11"/>
      <c r="AG69" s="14" t="e">
        <f t="shared" si="15"/>
        <v>#DIV/0!</v>
      </c>
      <c r="AH69" s="14">
        <f t="shared" si="16"/>
        <v>0</v>
      </c>
      <c r="AI69" s="11">
        <v>6501.6</v>
      </c>
      <c r="AJ69" s="11">
        <v>9198.1</v>
      </c>
      <c r="AK69" s="14">
        <f t="shared" si="17"/>
        <v>141.47440629998769</v>
      </c>
      <c r="AL69" s="11">
        <v>9940.2000000000007</v>
      </c>
      <c r="AM69" s="14">
        <f t="shared" si="18"/>
        <v>108.06797055913722</v>
      </c>
      <c r="AN69" s="11">
        <v>13525.93</v>
      </c>
      <c r="AO69" s="14">
        <f t="shared" si="19"/>
        <v>136.07301663950423</v>
      </c>
      <c r="AP69" s="11">
        <v>14645.4</v>
      </c>
      <c r="AQ69" s="14">
        <f t="shared" si="20"/>
        <v>108.27647341070077</v>
      </c>
      <c r="AR69" s="11">
        <v>15065.7</v>
      </c>
      <c r="AS69" s="14">
        <f t="shared" si="21"/>
        <v>102.8698430906633</v>
      </c>
      <c r="AT69" s="11"/>
      <c r="AU69" s="14">
        <f t="shared" si="22"/>
        <v>0</v>
      </c>
      <c r="AV69" s="11"/>
      <c r="AW69" s="14" t="e">
        <f t="shared" si="23"/>
        <v>#DIV/0!</v>
      </c>
      <c r="AX69" s="14">
        <f t="shared" si="24"/>
        <v>0</v>
      </c>
      <c r="AY69" s="11">
        <v>6630.2</v>
      </c>
      <c r="AZ69" s="11">
        <v>10089.6</v>
      </c>
      <c r="BA69" s="14">
        <f t="shared" si="25"/>
        <v>152.17640493499442</v>
      </c>
      <c r="BB69" s="11">
        <v>9434.85</v>
      </c>
      <c r="BC69" s="14">
        <f t="shared" si="26"/>
        <v>93.510644624167455</v>
      </c>
      <c r="BD69" s="11">
        <v>9976.64</v>
      </c>
      <c r="BE69" s="14">
        <f t="shared" si="27"/>
        <v>105.74243363699476</v>
      </c>
      <c r="BF69" s="11">
        <v>10052.799999999999</v>
      </c>
      <c r="BG69" s="14">
        <f t="shared" si="28"/>
        <v>100.76338326330307</v>
      </c>
      <c r="BH69" s="11">
        <v>10367.799999999999</v>
      </c>
      <c r="BI69" s="14">
        <f t="shared" si="29"/>
        <v>103.13345535572178</v>
      </c>
      <c r="BJ69" s="11">
        <f>4028.1/27.4/12*1000</f>
        <v>12250.912408759126</v>
      </c>
      <c r="BK69" s="14">
        <f t="shared" si="30"/>
        <v>118.16308579215577</v>
      </c>
      <c r="BL69" s="11">
        <f>1036.4/27.7/3*1000</f>
        <v>12471.720818291218</v>
      </c>
      <c r="BM69" s="14">
        <f t="shared" si="31"/>
        <v>101.8023833830876</v>
      </c>
      <c r="BN69" s="14">
        <f t="shared" si="32"/>
        <v>188.10474523078065</v>
      </c>
      <c r="BO69" s="11"/>
      <c r="BP69" s="11"/>
      <c r="BQ69" s="14"/>
      <c r="BR69" s="11"/>
      <c r="BS69" s="14"/>
      <c r="BT69" s="11"/>
      <c r="BU69" s="14"/>
      <c r="BV69" s="11"/>
      <c r="BW69" s="14"/>
      <c r="BX69" s="11"/>
      <c r="BY69" s="14"/>
      <c r="BZ69" s="11"/>
      <c r="CA69" s="14"/>
      <c r="CB69" s="11"/>
      <c r="CC69" s="14"/>
      <c r="CD69" s="21"/>
    </row>
    <row r="70" spans="1:82">
      <c r="A70" s="35">
        <f t="shared" si="40"/>
        <v>66</v>
      </c>
      <c r="B70" s="9" t="s">
        <v>67</v>
      </c>
      <c r="C70" s="11">
        <v>26187.5</v>
      </c>
      <c r="D70" s="11">
        <v>46039.4</v>
      </c>
      <c r="E70" s="14">
        <f t="shared" si="41"/>
        <v>175.80677804295942</v>
      </c>
      <c r="F70" s="11">
        <v>38752.080000000002</v>
      </c>
      <c r="G70" s="18">
        <f t="shared" si="42"/>
        <v>84.171557405179044</v>
      </c>
      <c r="H70" s="11">
        <v>39338.51</v>
      </c>
      <c r="I70" s="14">
        <f t="shared" ref="I70:I72" si="43">H70/F70*100</f>
        <v>101.51328651262075</v>
      </c>
      <c r="J70" s="11">
        <v>28929.200000000001</v>
      </c>
      <c r="K70" s="14">
        <f t="shared" ref="K70:K72" si="44">J70/H70*100</f>
        <v>73.539135061292356</v>
      </c>
      <c r="L70" s="11">
        <v>29854.2</v>
      </c>
      <c r="M70" s="11">
        <f t="shared" ref="M70:M72" si="45">L70/J70*100</f>
        <v>103.19746138849328</v>
      </c>
      <c r="N70" s="11"/>
      <c r="O70" s="11">
        <f t="shared" ref="O70:O72" si="46">N70/L70*100</f>
        <v>0</v>
      </c>
      <c r="P70" s="11"/>
      <c r="Q70" s="11" t="e">
        <f t="shared" ref="Q70:Q72" si="47">P70/N70*100</f>
        <v>#DIV/0!</v>
      </c>
      <c r="R70" s="11">
        <f t="shared" ref="R70:R72" si="48">P70/C70*100</f>
        <v>0</v>
      </c>
      <c r="S70" s="11">
        <v>9603</v>
      </c>
      <c r="T70" s="11">
        <v>13271.6</v>
      </c>
      <c r="U70" s="14">
        <f t="shared" ref="U70:U72" si="49">T70/S70*100</f>
        <v>138.20264500676873</v>
      </c>
      <c r="V70" s="11">
        <v>14711.57</v>
      </c>
      <c r="W70" s="14">
        <f t="shared" ref="W70:W72" si="50">V70/T70*100</f>
        <v>110.85001054884114</v>
      </c>
      <c r="X70" s="11">
        <v>15072.76</v>
      </c>
      <c r="Y70" s="14">
        <f t="shared" ref="Y70:Y72" si="51">X70/V70*100</f>
        <v>102.45514244910639</v>
      </c>
      <c r="Z70" s="11">
        <v>17360.599999999999</v>
      </c>
      <c r="AA70" s="14">
        <f t="shared" ref="AA70:AA72" si="52">Z70/X70*100</f>
        <v>115.17864014288025</v>
      </c>
      <c r="AB70" s="11">
        <v>19314.7</v>
      </c>
      <c r="AC70" s="14">
        <f t="shared" ref="AC70:AC72" si="53">AB70/Z70*100</f>
        <v>111.25594737509074</v>
      </c>
      <c r="AD70" s="11"/>
      <c r="AE70" s="14">
        <f t="shared" ref="AE70:AE72" si="54">AD70/AB70*100</f>
        <v>0</v>
      </c>
      <c r="AF70" s="11"/>
      <c r="AG70" s="14" t="e">
        <f t="shared" ref="AG70:AG72" si="55">AF70/AD70*100</f>
        <v>#DIV/0!</v>
      </c>
      <c r="AH70" s="14">
        <f t="shared" ref="AH70:AH72" si="56">AF70/C70*100</f>
        <v>0</v>
      </c>
      <c r="AI70" s="11">
        <v>6463.1</v>
      </c>
      <c r="AJ70" s="11">
        <v>10708.5</v>
      </c>
      <c r="AK70" s="14">
        <f t="shared" ref="AK70:AK72" si="57">AJ70/AI70*100</f>
        <v>165.68674475097089</v>
      </c>
      <c r="AL70" s="11">
        <v>13363.89</v>
      </c>
      <c r="AM70" s="14">
        <f t="shared" ref="AM70:AM72" si="58">AL70/AJ70*100</f>
        <v>124.79703039641406</v>
      </c>
      <c r="AN70" s="11">
        <v>9251.25</v>
      </c>
      <c r="AO70" s="14">
        <f t="shared" ref="AO70:AO72" si="59">AN70/AL70*100</f>
        <v>69.225726940284602</v>
      </c>
      <c r="AP70" s="11">
        <v>10190.6</v>
      </c>
      <c r="AQ70" s="14">
        <f t="shared" ref="AQ70:AQ72" si="60">AP70/AN70*100</f>
        <v>110.15376300499933</v>
      </c>
      <c r="AR70" s="11">
        <v>15642.4</v>
      </c>
      <c r="AS70" s="14">
        <f t="shared" ref="AS70:AS72" si="61">AR70/AP70*100</f>
        <v>153.49832198300393</v>
      </c>
      <c r="AT70" s="11"/>
      <c r="AU70" s="14">
        <f t="shared" ref="AU70:AU72" si="62">AT70/AR70*100</f>
        <v>0</v>
      </c>
      <c r="AV70" s="11"/>
      <c r="AW70" s="14" t="e">
        <f t="shared" ref="AW70:AW72" si="63">AV70/AT70*100</f>
        <v>#DIV/0!</v>
      </c>
      <c r="AX70" s="14">
        <f t="shared" ref="AX70:AX72" si="64">AV70/AI70*100</f>
        <v>0</v>
      </c>
      <c r="AY70" s="11">
        <v>26396.1</v>
      </c>
      <c r="AZ70" s="11">
        <v>14275.8</v>
      </c>
      <c r="BA70" s="14">
        <f t="shared" ref="BA70:BA72" si="65">AZ70/AY70*100</f>
        <v>54.08298953254458</v>
      </c>
      <c r="BB70" s="11">
        <v>13830.8</v>
      </c>
      <c r="BC70" s="14">
        <f t="shared" ref="BC70:BC72" si="66">BB70/AZ70*100</f>
        <v>96.882836688661939</v>
      </c>
      <c r="BD70" s="11">
        <v>17801.349999999999</v>
      </c>
      <c r="BE70" s="14">
        <f t="shared" ref="BE70:BE72" si="67">BD70/BB70*100</f>
        <v>128.70802845822368</v>
      </c>
      <c r="BF70" s="11">
        <v>19862.3</v>
      </c>
      <c r="BG70" s="14">
        <f t="shared" ref="BG70:BG72" si="68">BF70/BD70*100</f>
        <v>111.57749271824891</v>
      </c>
      <c r="BH70" s="11">
        <v>18929</v>
      </c>
      <c r="BI70" s="14">
        <f t="shared" ref="BI70:BI72" si="69">BH70/BF70*100</f>
        <v>95.301148406780683</v>
      </c>
      <c r="BJ70" s="11">
        <f>2231.6/15.6/12*1000</f>
        <v>11920.94017094017</v>
      </c>
      <c r="BK70" s="14">
        <f t="shared" ref="BK70:BK72" si="70">BJ70/BH70*100</f>
        <v>62.97712594928506</v>
      </c>
      <c r="BL70" s="11">
        <f>591.3/15.7/3*1000</f>
        <v>12554.140127388535</v>
      </c>
      <c r="BM70" s="14">
        <f t="shared" ref="BM70:BM72" si="71">BL70/BJ70*100</f>
        <v>105.31166122276096</v>
      </c>
      <c r="BN70" s="14">
        <f t="shared" ref="BN70:BN72" si="72">BL70/AY70*100</f>
        <v>47.560587084412226</v>
      </c>
      <c r="BO70" s="11"/>
      <c r="BP70" s="11"/>
      <c r="BQ70" s="14"/>
      <c r="BR70" s="11"/>
      <c r="BS70" s="14"/>
      <c r="BT70" s="11"/>
      <c r="BU70" s="14"/>
      <c r="BV70" s="11"/>
      <c r="BW70" s="14"/>
      <c r="BX70" s="11"/>
      <c r="BY70" s="14"/>
      <c r="BZ70" s="11"/>
      <c r="CA70" s="14"/>
      <c r="CB70" s="11"/>
      <c r="CC70" s="14"/>
      <c r="CD70" s="21"/>
    </row>
    <row r="71" spans="1:82" ht="39">
      <c r="A71" s="35">
        <f t="shared" ref="A71" si="73">A70+1</f>
        <v>67</v>
      </c>
      <c r="B71" s="9" t="s">
        <v>68</v>
      </c>
      <c r="C71" s="11">
        <v>20684.400000000001</v>
      </c>
      <c r="D71" s="11">
        <v>39681.699999999997</v>
      </c>
      <c r="E71" s="14">
        <f t="shared" si="41"/>
        <v>191.84361161068242</v>
      </c>
      <c r="F71" s="11">
        <v>34986.11</v>
      </c>
      <c r="G71" s="18">
        <f t="shared" si="42"/>
        <v>88.166862810817079</v>
      </c>
      <c r="H71" s="11">
        <v>32238.1</v>
      </c>
      <c r="I71" s="14">
        <f t="shared" si="43"/>
        <v>92.145425713233038</v>
      </c>
      <c r="J71" s="11"/>
      <c r="K71" s="14">
        <f t="shared" si="44"/>
        <v>0</v>
      </c>
      <c r="L71" s="11"/>
      <c r="M71" s="11" t="e">
        <f t="shared" si="45"/>
        <v>#DIV/0!</v>
      </c>
      <c r="N71" s="11"/>
      <c r="O71" s="11" t="e">
        <f t="shared" si="46"/>
        <v>#DIV/0!</v>
      </c>
      <c r="P71" s="11"/>
      <c r="Q71" s="11" t="e">
        <f t="shared" si="47"/>
        <v>#DIV/0!</v>
      </c>
      <c r="R71" s="11">
        <f t="shared" si="48"/>
        <v>0</v>
      </c>
      <c r="S71" s="11">
        <v>10729</v>
      </c>
      <c r="T71" s="11">
        <v>18956.900000000001</v>
      </c>
      <c r="U71" s="14">
        <f t="shared" si="49"/>
        <v>176.68841457731384</v>
      </c>
      <c r="V71" s="11">
        <v>20125</v>
      </c>
      <c r="W71" s="14">
        <f t="shared" si="50"/>
        <v>106.16187245804957</v>
      </c>
      <c r="X71" s="11">
        <v>17397.439999999999</v>
      </c>
      <c r="Y71" s="14">
        <f t="shared" si="51"/>
        <v>86.446906832298126</v>
      </c>
      <c r="Z71" s="11"/>
      <c r="AA71" s="14">
        <f t="shared" si="52"/>
        <v>0</v>
      </c>
      <c r="AB71" s="11"/>
      <c r="AC71" s="14" t="e">
        <f t="shared" si="53"/>
        <v>#DIV/0!</v>
      </c>
      <c r="AD71" s="11"/>
      <c r="AE71" s="14" t="e">
        <f t="shared" si="54"/>
        <v>#DIV/0!</v>
      </c>
      <c r="AF71" s="11"/>
      <c r="AG71" s="14" t="e">
        <f t="shared" si="55"/>
        <v>#DIV/0!</v>
      </c>
      <c r="AH71" s="14">
        <f t="shared" si="56"/>
        <v>0</v>
      </c>
      <c r="AI71" s="11">
        <v>6295.8</v>
      </c>
      <c r="AJ71" s="11">
        <v>10200</v>
      </c>
      <c r="AK71" s="14">
        <f t="shared" si="57"/>
        <v>162.01277041837415</v>
      </c>
      <c r="AL71" s="11">
        <v>12119.05</v>
      </c>
      <c r="AM71" s="14">
        <f t="shared" si="58"/>
        <v>118.81421568627451</v>
      </c>
      <c r="AN71" s="11">
        <v>12604.17</v>
      </c>
      <c r="AO71" s="14">
        <f t="shared" si="59"/>
        <v>104.00295402692457</v>
      </c>
      <c r="AP71" s="11"/>
      <c r="AQ71" s="14">
        <f t="shared" si="60"/>
        <v>0</v>
      </c>
      <c r="AR71" s="11"/>
      <c r="AS71" s="14" t="e">
        <f t="shared" si="61"/>
        <v>#DIV/0!</v>
      </c>
      <c r="AT71" s="11"/>
      <c r="AU71" s="14" t="e">
        <f t="shared" si="62"/>
        <v>#DIV/0!</v>
      </c>
      <c r="AV71" s="11"/>
      <c r="AW71" s="14" t="e">
        <f t="shared" si="63"/>
        <v>#DIV/0!</v>
      </c>
      <c r="AX71" s="14">
        <f t="shared" si="64"/>
        <v>0</v>
      </c>
      <c r="AY71" s="11">
        <v>17626</v>
      </c>
      <c r="AZ71" s="11">
        <v>22728.400000000001</v>
      </c>
      <c r="BA71" s="14">
        <f t="shared" si="65"/>
        <v>128.94814478611144</v>
      </c>
      <c r="BB71" s="11">
        <v>14402.8</v>
      </c>
      <c r="BC71" s="14">
        <f t="shared" si="66"/>
        <v>63.369176888826303</v>
      </c>
      <c r="BD71" s="11">
        <v>13861.11</v>
      </c>
      <c r="BE71" s="14">
        <f t="shared" si="67"/>
        <v>96.238995195378692</v>
      </c>
      <c r="BF71" s="11"/>
      <c r="BG71" s="14">
        <f t="shared" si="68"/>
        <v>0</v>
      </c>
      <c r="BH71" s="11"/>
      <c r="BI71" s="14" t="e">
        <f t="shared" si="69"/>
        <v>#DIV/0!</v>
      </c>
      <c r="BJ71" s="11"/>
      <c r="BK71" s="14" t="e">
        <f t="shared" si="70"/>
        <v>#DIV/0!</v>
      </c>
      <c r="BL71" s="11"/>
      <c r="BM71" s="14" t="e">
        <f t="shared" si="71"/>
        <v>#DIV/0!</v>
      </c>
      <c r="BN71" s="14">
        <f t="shared" si="72"/>
        <v>0</v>
      </c>
      <c r="BO71" s="11"/>
      <c r="BP71" s="11"/>
      <c r="BQ71" s="14"/>
      <c r="BR71" s="11"/>
      <c r="BS71" s="14"/>
      <c r="BT71" s="11"/>
      <c r="BU71" s="14"/>
      <c r="BV71" s="11"/>
      <c r="BW71" s="14"/>
      <c r="BX71" s="11"/>
      <c r="BY71" s="14"/>
      <c r="BZ71" s="11"/>
      <c r="CA71" s="14"/>
      <c r="CB71" s="11"/>
      <c r="CC71" s="14"/>
      <c r="CD71" s="21"/>
    </row>
    <row r="72" spans="1:82">
      <c r="A72" s="10">
        <v>68</v>
      </c>
      <c r="B72" s="9" t="s">
        <v>76</v>
      </c>
      <c r="C72" s="11"/>
      <c r="D72" s="11">
        <v>48833.3</v>
      </c>
      <c r="E72" s="14" t="e">
        <f t="shared" si="41"/>
        <v>#DIV/0!</v>
      </c>
      <c r="F72" s="11">
        <v>0</v>
      </c>
      <c r="G72" s="18">
        <f t="shared" si="42"/>
        <v>0</v>
      </c>
      <c r="H72" s="11"/>
      <c r="I72" s="14" t="e">
        <f t="shared" si="43"/>
        <v>#DIV/0!</v>
      </c>
      <c r="J72" s="11">
        <v>0</v>
      </c>
      <c r="K72" s="14" t="e">
        <f t="shared" si="44"/>
        <v>#DIV/0!</v>
      </c>
      <c r="L72" s="11"/>
      <c r="M72" s="11" t="e">
        <f t="shared" si="45"/>
        <v>#DIV/0!</v>
      </c>
      <c r="N72" s="11"/>
      <c r="O72" s="11" t="e">
        <f t="shared" si="46"/>
        <v>#DIV/0!</v>
      </c>
      <c r="P72" s="11"/>
      <c r="Q72" s="11" t="e">
        <f t="shared" si="47"/>
        <v>#DIV/0!</v>
      </c>
      <c r="R72" s="11" t="e">
        <f t="shared" si="48"/>
        <v>#DIV/0!</v>
      </c>
      <c r="S72" s="11"/>
      <c r="T72" s="11">
        <v>13013.9</v>
      </c>
      <c r="U72" s="14" t="e">
        <f t="shared" si="49"/>
        <v>#DIV/0!</v>
      </c>
      <c r="V72" s="11">
        <v>17363.89</v>
      </c>
      <c r="W72" s="14">
        <f t="shared" si="50"/>
        <v>133.42572172830589</v>
      </c>
      <c r="X72" s="11">
        <v>19395.830000000002</v>
      </c>
      <c r="Y72" s="14">
        <f t="shared" si="51"/>
        <v>111.70210131485516</v>
      </c>
      <c r="Z72" s="11">
        <v>20363.099999999999</v>
      </c>
      <c r="AA72" s="14">
        <f t="shared" si="52"/>
        <v>104.98699978294302</v>
      </c>
      <c r="AB72" s="11"/>
      <c r="AC72" s="14">
        <f t="shared" si="53"/>
        <v>0</v>
      </c>
      <c r="AD72" s="11"/>
      <c r="AE72" s="14" t="e">
        <f t="shared" si="54"/>
        <v>#DIV/0!</v>
      </c>
      <c r="AF72" s="11"/>
      <c r="AG72" s="14" t="e">
        <f t="shared" si="55"/>
        <v>#DIV/0!</v>
      </c>
      <c r="AH72" s="14" t="e">
        <f t="shared" si="56"/>
        <v>#DIV/0!</v>
      </c>
      <c r="AI72" s="11"/>
      <c r="AJ72" s="11">
        <v>3916.7</v>
      </c>
      <c r="AK72" s="14" t="e">
        <f t="shared" si="57"/>
        <v>#DIV/0!</v>
      </c>
      <c r="AL72" s="11"/>
      <c r="AM72" s="14">
        <f t="shared" si="58"/>
        <v>0</v>
      </c>
      <c r="AN72" s="11"/>
      <c r="AO72" s="14" t="e">
        <f t="shared" si="59"/>
        <v>#DIV/0!</v>
      </c>
      <c r="AP72" s="11">
        <v>0</v>
      </c>
      <c r="AQ72" s="14" t="e">
        <f t="shared" si="60"/>
        <v>#DIV/0!</v>
      </c>
      <c r="AR72" s="11"/>
      <c r="AS72" s="14" t="e">
        <f t="shared" si="61"/>
        <v>#DIV/0!</v>
      </c>
      <c r="AT72" s="11"/>
      <c r="AU72" s="14" t="e">
        <f t="shared" si="62"/>
        <v>#DIV/0!</v>
      </c>
      <c r="AV72" s="11"/>
      <c r="AW72" s="14" t="e">
        <f t="shared" si="63"/>
        <v>#DIV/0!</v>
      </c>
      <c r="AX72" s="14" t="e">
        <f t="shared" si="64"/>
        <v>#DIV/0!</v>
      </c>
      <c r="AY72" s="11"/>
      <c r="AZ72" s="11">
        <v>19375</v>
      </c>
      <c r="BA72" s="14" t="e">
        <f t="shared" si="65"/>
        <v>#DIV/0!</v>
      </c>
      <c r="BB72" s="11">
        <v>16111.11</v>
      </c>
      <c r="BC72" s="14">
        <f t="shared" si="66"/>
        <v>83.154116129032261</v>
      </c>
      <c r="BD72" s="11">
        <v>13522.22</v>
      </c>
      <c r="BE72" s="14">
        <f t="shared" si="67"/>
        <v>83.931026478001826</v>
      </c>
      <c r="BF72" s="11">
        <v>21629.200000000001</v>
      </c>
      <c r="BG72" s="14">
        <f t="shared" si="68"/>
        <v>159.95302546475358</v>
      </c>
      <c r="BH72" s="11"/>
      <c r="BI72" s="14">
        <f t="shared" si="69"/>
        <v>0</v>
      </c>
      <c r="BJ72" s="11"/>
      <c r="BK72" s="14" t="e">
        <f t="shared" si="70"/>
        <v>#DIV/0!</v>
      </c>
      <c r="BL72" s="11"/>
      <c r="BM72" s="14" t="e">
        <f t="shared" si="71"/>
        <v>#DIV/0!</v>
      </c>
      <c r="BN72" s="14" t="e">
        <f t="shared" si="72"/>
        <v>#DIV/0!</v>
      </c>
      <c r="BO72" s="11"/>
      <c r="BP72" s="11"/>
      <c r="BQ72" s="14"/>
      <c r="BR72" s="11"/>
      <c r="BS72" s="14"/>
      <c r="BT72" s="11"/>
      <c r="BU72" s="14"/>
      <c r="BV72" s="11"/>
      <c r="BW72" s="14"/>
      <c r="BX72" s="11"/>
      <c r="BY72" s="14"/>
      <c r="BZ72" s="11"/>
      <c r="CA72" s="14"/>
      <c r="CB72" s="11"/>
      <c r="CC72" s="14"/>
      <c r="CD72" s="21"/>
    </row>
    <row r="73" spans="1:82" s="30" customFormat="1">
      <c r="A73" s="29"/>
      <c r="B73" s="29"/>
      <c r="E73" s="31"/>
      <c r="I73" s="31"/>
      <c r="K73" s="31"/>
      <c r="U73" s="31"/>
      <c r="W73" s="31"/>
      <c r="Y73" s="31"/>
      <c r="AA73" s="31"/>
      <c r="AC73" s="31"/>
      <c r="AE73" s="31"/>
      <c r="AG73" s="31"/>
      <c r="AH73" s="31"/>
      <c r="AK73" s="31"/>
      <c r="AM73" s="31"/>
      <c r="AO73" s="31"/>
      <c r="AQ73" s="31"/>
      <c r="AS73" s="31"/>
      <c r="AU73" s="32"/>
      <c r="AW73" s="31"/>
      <c r="AX73" s="31"/>
      <c r="BA73" s="31"/>
      <c r="BC73" s="31"/>
      <c r="BE73" s="31"/>
      <c r="BG73" s="31"/>
      <c r="BI73" s="31"/>
      <c r="BK73" s="31"/>
      <c r="BM73" s="31"/>
      <c r="BN73" s="31"/>
      <c r="BO73" s="33"/>
      <c r="BP73" s="33"/>
      <c r="BQ73" s="34"/>
      <c r="BR73" s="33"/>
      <c r="BS73" s="34"/>
      <c r="BT73" s="33"/>
      <c r="BU73" s="34"/>
      <c r="BV73" s="33"/>
      <c r="BW73" s="34"/>
      <c r="BX73" s="33"/>
      <c r="BY73" s="34"/>
      <c r="BZ73" s="33"/>
      <c r="CA73" s="34"/>
      <c r="CB73" s="33"/>
      <c r="CC73" s="34"/>
    </row>
    <row r="74" spans="1:82" s="30" customFormat="1">
      <c r="A74" s="29"/>
      <c r="B74" s="29"/>
      <c r="E74" s="31"/>
      <c r="I74" s="31"/>
      <c r="K74" s="31"/>
      <c r="U74" s="31"/>
      <c r="W74" s="31"/>
      <c r="Y74" s="31"/>
      <c r="AA74" s="31"/>
      <c r="AC74" s="31"/>
      <c r="AE74" s="31"/>
      <c r="AG74" s="31"/>
      <c r="AH74" s="31"/>
      <c r="AK74" s="31"/>
      <c r="AM74" s="31"/>
      <c r="AO74" s="31"/>
      <c r="AQ74" s="31"/>
      <c r="AS74" s="31"/>
      <c r="AU74" s="32"/>
      <c r="AW74" s="31"/>
      <c r="AX74" s="31"/>
      <c r="BA74" s="31"/>
      <c r="BC74" s="31"/>
      <c r="BE74" s="31"/>
      <c r="BG74" s="31"/>
      <c r="BI74" s="31"/>
      <c r="BK74" s="31"/>
      <c r="BM74" s="31"/>
      <c r="BN74" s="31"/>
      <c r="BO74" s="33"/>
      <c r="BP74" s="33"/>
      <c r="BQ74" s="34"/>
      <c r="BR74" s="33"/>
      <c r="BS74" s="34"/>
      <c r="BT74" s="33"/>
      <c r="BU74" s="34"/>
      <c r="BV74" s="33"/>
      <c r="BW74" s="34"/>
      <c r="BX74" s="33"/>
      <c r="BY74" s="34"/>
      <c r="BZ74" s="33"/>
      <c r="CA74" s="34"/>
      <c r="CB74" s="33"/>
      <c r="CC74" s="34"/>
    </row>
    <row r="75" spans="1:82" s="30" customFormat="1">
      <c r="A75" s="29"/>
      <c r="B75" s="29"/>
      <c r="E75" s="31"/>
      <c r="I75" s="31"/>
      <c r="K75" s="31"/>
      <c r="U75" s="31"/>
      <c r="W75" s="31"/>
      <c r="Y75" s="31"/>
      <c r="AA75" s="31"/>
      <c r="AC75" s="31"/>
      <c r="AE75" s="31"/>
      <c r="AG75" s="31"/>
      <c r="AH75" s="31"/>
      <c r="AK75" s="31"/>
      <c r="AM75" s="31"/>
      <c r="AO75" s="31"/>
      <c r="AQ75" s="31"/>
      <c r="AS75" s="31"/>
      <c r="AU75" s="32"/>
      <c r="AW75" s="31"/>
      <c r="AX75" s="31"/>
      <c r="BA75" s="31"/>
      <c r="BC75" s="31"/>
      <c r="BE75" s="31"/>
      <c r="BG75" s="31"/>
      <c r="BI75" s="31"/>
      <c r="BK75" s="31"/>
      <c r="BM75" s="31"/>
      <c r="BN75" s="31"/>
      <c r="BO75" s="33"/>
      <c r="BP75" s="33"/>
      <c r="BQ75" s="34"/>
      <c r="BR75" s="33"/>
      <c r="BS75" s="34"/>
      <c r="BT75" s="33"/>
      <c r="BU75" s="34"/>
      <c r="BV75" s="33"/>
      <c r="BW75" s="34"/>
      <c r="BX75" s="33"/>
      <c r="BY75" s="34"/>
      <c r="BZ75" s="33"/>
      <c r="CA75" s="34"/>
      <c r="CB75" s="33"/>
      <c r="CC75" s="34"/>
    </row>
    <row r="76" spans="1:82" s="30" customFormat="1">
      <c r="A76" s="29"/>
      <c r="B76" s="29"/>
      <c r="E76" s="31"/>
      <c r="I76" s="31"/>
      <c r="K76" s="31"/>
      <c r="U76" s="31"/>
      <c r="W76" s="31"/>
      <c r="Y76" s="31"/>
      <c r="AA76" s="31"/>
      <c r="AC76" s="31"/>
      <c r="AE76" s="31"/>
      <c r="AG76" s="31"/>
      <c r="AH76" s="31"/>
      <c r="AK76" s="31"/>
      <c r="AM76" s="31"/>
      <c r="AO76" s="31"/>
      <c r="AQ76" s="31"/>
      <c r="AS76" s="31"/>
      <c r="AU76" s="32"/>
      <c r="AW76" s="31"/>
      <c r="AX76" s="31"/>
      <c r="BA76" s="31"/>
      <c r="BC76" s="31"/>
      <c r="BE76" s="31"/>
      <c r="BG76" s="31"/>
      <c r="BI76" s="31"/>
      <c r="BK76" s="31"/>
      <c r="BM76" s="31"/>
      <c r="BN76" s="31"/>
      <c r="BO76" s="33"/>
      <c r="BP76" s="33"/>
      <c r="BQ76" s="34"/>
      <c r="BR76" s="33"/>
      <c r="BS76" s="34"/>
      <c r="BT76" s="33"/>
      <c r="BU76" s="34"/>
      <c r="BV76" s="33"/>
      <c r="BW76" s="34"/>
      <c r="BX76" s="33"/>
      <c r="BY76" s="34"/>
      <c r="BZ76" s="33"/>
      <c r="CA76" s="34"/>
      <c r="CB76" s="33"/>
      <c r="CC76" s="34"/>
    </row>
    <row r="77" spans="1:82" s="30" customFormat="1">
      <c r="A77" s="29"/>
      <c r="B77" s="29"/>
      <c r="E77" s="31"/>
      <c r="I77" s="31"/>
      <c r="K77" s="31"/>
      <c r="U77" s="31"/>
      <c r="W77" s="31"/>
      <c r="Y77" s="31"/>
      <c r="AA77" s="31"/>
      <c r="AC77" s="31"/>
      <c r="AE77" s="31"/>
      <c r="AG77" s="31"/>
      <c r="AH77" s="31"/>
      <c r="AK77" s="31"/>
      <c r="AM77" s="31"/>
      <c r="AO77" s="31"/>
      <c r="AQ77" s="31"/>
      <c r="AS77" s="31"/>
      <c r="AU77" s="32"/>
      <c r="AW77" s="31"/>
      <c r="AX77" s="31"/>
      <c r="BA77" s="31"/>
      <c r="BC77" s="31"/>
      <c r="BE77" s="31"/>
      <c r="BG77" s="31"/>
      <c r="BI77" s="31"/>
      <c r="BK77" s="31"/>
      <c r="BM77" s="31"/>
      <c r="BN77" s="31"/>
      <c r="BO77" s="33"/>
      <c r="BP77" s="33"/>
      <c r="BQ77" s="34"/>
      <c r="BR77" s="33"/>
      <c r="BS77" s="34"/>
      <c r="BT77" s="33"/>
      <c r="BU77" s="34"/>
      <c r="BV77" s="33"/>
      <c r="BW77" s="34"/>
      <c r="BX77" s="33"/>
      <c r="BY77" s="34"/>
      <c r="BZ77" s="33"/>
      <c r="CA77" s="34"/>
      <c r="CB77" s="33"/>
      <c r="CC77" s="34"/>
    </row>
  </sheetData>
  <mergeCells count="9">
    <mergeCell ref="BO2:CB2"/>
    <mergeCell ref="A4:B4"/>
    <mergeCell ref="C1:BL1"/>
    <mergeCell ref="A2:A3"/>
    <mergeCell ref="C2:P2"/>
    <mergeCell ref="S2:AF2"/>
    <mergeCell ref="AI2:AV2"/>
    <mergeCell ref="B2:B3"/>
    <mergeCell ref="AY2:BL2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fitToHeight="35" orientation="landscape" r:id="rId1"/>
  <colBreaks count="1" manualBreakCount="1">
    <brk id="31" max="2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9"/>
  <sheetViews>
    <sheetView workbookViewId="0">
      <selection activeCell="M9" sqref="M9:M11"/>
    </sheetView>
  </sheetViews>
  <sheetFormatPr defaultRowHeight="15"/>
  <cols>
    <col min="1" max="1" width="17.7109375" customWidth="1"/>
    <col min="2" max="2" width="11.42578125" customWidth="1"/>
    <col min="3" max="3" width="11.7109375" customWidth="1"/>
    <col min="5" max="5" width="10.7109375" customWidth="1"/>
    <col min="7" max="7" width="11.140625" customWidth="1"/>
    <col min="8" max="8" width="11.42578125" customWidth="1"/>
    <col min="9" max="9" width="11" customWidth="1"/>
    <col min="11" max="11" width="11.42578125" customWidth="1"/>
    <col min="13" max="13" width="11.140625" customWidth="1"/>
    <col min="15" max="15" width="10.42578125" customWidth="1"/>
  </cols>
  <sheetData>
    <row r="1" spans="1:48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48" ht="75">
      <c r="A2" s="12" t="s">
        <v>80</v>
      </c>
      <c r="B2" s="4">
        <v>2012</v>
      </c>
      <c r="C2" s="4">
        <v>2013</v>
      </c>
      <c r="D2" s="4" t="s">
        <v>79</v>
      </c>
      <c r="E2" s="4">
        <v>2014</v>
      </c>
      <c r="F2" s="4" t="s">
        <v>79</v>
      </c>
      <c r="G2" s="4">
        <v>2015</v>
      </c>
      <c r="H2" s="4" t="s">
        <v>79</v>
      </c>
      <c r="I2" s="4">
        <v>2016</v>
      </c>
      <c r="J2" s="4" t="s">
        <v>79</v>
      </c>
      <c r="K2" s="4">
        <v>2017</v>
      </c>
      <c r="L2" s="4" t="s">
        <v>79</v>
      </c>
      <c r="M2" s="4">
        <v>2018</v>
      </c>
      <c r="N2" s="4" t="s">
        <v>79</v>
      </c>
      <c r="O2" s="4" t="s">
        <v>3</v>
      </c>
      <c r="P2" s="4" t="s">
        <v>79</v>
      </c>
      <c r="Q2" s="4" t="s">
        <v>78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>
      <c r="A3" s="3" t="s">
        <v>81</v>
      </c>
      <c r="B3" s="26">
        <v>28840.3</v>
      </c>
      <c r="C3" s="26">
        <v>34352.6</v>
      </c>
      <c r="D3" s="28">
        <f>C3/B3*100</f>
        <v>119.11318536908423</v>
      </c>
      <c r="E3" s="26">
        <v>36515.879999999997</v>
      </c>
      <c r="F3" s="28">
        <f>E3/C3*100</f>
        <v>106.29728171957873</v>
      </c>
      <c r="G3" s="26">
        <v>36870.800000000003</v>
      </c>
      <c r="H3" s="28">
        <f>G3/E3*100</f>
        <v>100.97196069217011</v>
      </c>
      <c r="I3" s="26">
        <v>37183.54</v>
      </c>
      <c r="J3" s="28">
        <f>I3/G3*100</f>
        <v>100.84820508369768</v>
      </c>
      <c r="K3" s="26">
        <v>37776.400000000001</v>
      </c>
      <c r="L3" s="28">
        <f>K3/I3*100</f>
        <v>101.59441516326848</v>
      </c>
      <c r="M3" s="26">
        <v>49034.2</v>
      </c>
      <c r="N3" s="28">
        <f>M3/K3*100</f>
        <v>129.80114568884275</v>
      </c>
      <c r="O3" s="26">
        <v>50027.4</v>
      </c>
      <c r="P3" s="28">
        <f>O3/M3*100</f>
        <v>102.02552504170559</v>
      </c>
      <c r="Q3" s="28">
        <f>O3/B3*100</f>
        <v>173.46352153063594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45">
      <c r="A4" s="3" t="s">
        <v>82</v>
      </c>
      <c r="B4" s="26">
        <v>13342.2</v>
      </c>
      <c r="C4" s="26">
        <v>15774.4</v>
      </c>
      <c r="D4" s="28">
        <f t="shared" ref="D4:D8" si="0">C4/B4*100</f>
        <v>118.22937746398642</v>
      </c>
      <c r="E4" s="26">
        <v>17854.75</v>
      </c>
      <c r="F4" s="28">
        <f t="shared" ref="F4:F8" si="1">E4/C4*100</f>
        <v>113.18814027791866</v>
      </c>
      <c r="G4" s="26">
        <v>18396.3</v>
      </c>
      <c r="H4" s="28">
        <f t="shared" ref="H4:H8" si="2">G4/E4*100</f>
        <v>103.03308643358208</v>
      </c>
      <c r="I4" s="26">
        <v>19291.3</v>
      </c>
      <c r="J4" s="28">
        <f t="shared" ref="J4:J8" si="3">I4/G4*100</f>
        <v>104.86510874469323</v>
      </c>
      <c r="K4" s="26">
        <v>19794.599999999999</v>
      </c>
      <c r="L4" s="28">
        <f t="shared" ref="L4:L8" si="4">K4/I4*100</f>
        <v>102.608948075039</v>
      </c>
      <c r="M4" s="26">
        <v>24610.9</v>
      </c>
      <c r="N4" s="28">
        <f t="shared" ref="N4:N8" si="5">M4/K4*100</f>
        <v>124.33138330655838</v>
      </c>
      <c r="O4" s="26">
        <v>26209.7</v>
      </c>
      <c r="P4" s="28">
        <f t="shared" ref="P4:P8" si="6">O4/M4*100</f>
        <v>106.49630854621326</v>
      </c>
      <c r="Q4" s="28">
        <f t="shared" ref="Q4:Q8" si="7">O4/B4*100</f>
        <v>196.44211599286473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45">
      <c r="A5" s="3" t="s">
        <v>83</v>
      </c>
      <c r="B5" s="26">
        <v>7524</v>
      </c>
      <c r="C5" s="26">
        <v>9513.7999999999993</v>
      </c>
      <c r="D5" s="28">
        <f t="shared" si="0"/>
        <v>126.44603934077618</v>
      </c>
      <c r="E5" s="26">
        <v>10566.56</v>
      </c>
      <c r="F5" s="28">
        <f t="shared" si="1"/>
        <v>111.06560995606382</v>
      </c>
      <c r="G5" s="26">
        <v>10987.7</v>
      </c>
      <c r="H5" s="28">
        <f t="shared" si="2"/>
        <v>103.98559228358141</v>
      </c>
      <c r="I5" s="26">
        <v>11432.8</v>
      </c>
      <c r="J5" s="28">
        <f t="shared" si="3"/>
        <v>104.05089327156729</v>
      </c>
      <c r="K5" s="26">
        <v>13151.3</v>
      </c>
      <c r="L5" s="28">
        <f t="shared" si="4"/>
        <v>115.0313134140368</v>
      </c>
      <c r="M5" s="26">
        <v>24394.7</v>
      </c>
      <c r="N5" s="28">
        <f t="shared" si="5"/>
        <v>185.49268893569459</v>
      </c>
      <c r="O5" s="26">
        <v>24399.7</v>
      </c>
      <c r="P5" s="28">
        <f t="shared" si="6"/>
        <v>100.02049625533415</v>
      </c>
      <c r="Q5" s="28">
        <f t="shared" si="7"/>
        <v>324.29160021265284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48">
      <c r="A6" s="3" t="s">
        <v>84</v>
      </c>
      <c r="B6" s="26">
        <v>13402.7</v>
      </c>
      <c r="C6" s="26">
        <v>15478.9</v>
      </c>
      <c r="D6" s="28">
        <f t="shared" si="0"/>
        <v>115.49090854827757</v>
      </c>
      <c r="E6" s="26">
        <v>14957.8</v>
      </c>
      <c r="F6" s="28">
        <f t="shared" si="1"/>
        <v>96.633481707356466</v>
      </c>
      <c r="G6" s="26">
        <v>15367</v>
      </c>
      <c r="H6" s="28">
        <f t="shared" si="2"/>
        <v>102.73569642594499</v>
      </c>
      <c r="I6" s="26">
        <v>15787.1</v>
      </c>
      <c r="J6" s="28">
        <f t="shared" si="3"/>
        <v>102.73378017830417</v>
      </c>
      <c r="K6" s="26">
        <v>15161.6</v>
      </c>
      <c r="L6" s="28">
        <f t="shared" si="4"/>
        <v>96.037904364956191</v>
      </c>
      <c r="M6" s="26">
        <v>15374.3</v>
      </c>
      <c r="N6" s="28">
        <f t="shared" si="5"/>
        <v>101.40288623891938</v>
      </c>
      <c r="O6" s="26">
        <v>16330</v>
      </c>
      <c r="P6" s="28">
        <f t="shared" si="6"/>
        <v>106.21621797415169</v>
      </c>
      <c r="Q6" s="28">
        <f t="shared" si="7"/>
        <v>121.84112156505778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>
      <c r="A7" s="3" t="s">
        <v>86</v>
      </c>
      <c r="B7" s="26"/>
      <c r="C7" s="26"/>
      <c r="D7" s="28"/>
      <c r="E7" s="26"/>
      <c r="F7" s="28"/>
      <c r="G7" s="26"/>
      <c r="H7" s="28"/>
      <c r="I7" s="26"/>
      <c r="J7" s="28"/>
      <c r="K7" s="26"/>
      <c r="L7" s="28"/>
      <c r="M7" s="26"/>
      <c r="N7" s="28"/>
      <c r="O7" s="26"/>
      <c r="P7" s="28"/>
      <c r="Q7" s="2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>
      <c r="A8" s="3" t="s">
        <v>85</v>
      </c>
      <c r="B8" s="26">
        <v>17312.556530612252</v>
      </c>
      <c r="C8" s="26">
        <v>19565.196326530619</v>
      </c>
      <c r="D8" s="28">
        <f t="shared" si="0"/>
        <v>113.01159532351693</v>
      </c>
      <c r="E8" s="27">
        <v>20458.694489795915</v>
      </c>
      <c r="F8" s="28">
        <f t="shared" si="1"/>
        <v>104.56677330681165</v>
      </c>
      <c r="G8" s="27">
        <v>21624.767959183671</v>
      </c>
      <c r="H8" s="28">
        <f t="shared" si="2"/>
        <v>105.69964750179615</v>
      </c>
      <c r="I8" s="27">
        <v>22442.35775510205</v>
      </c>
      <c r="J8" s="28">
        <f t="shared" si="3"/>
        <v>103.78080263086089</v>
      </c>
      <c r="K8" s="27">
        <v>22603.186122448977</v>
      </c>
      <c r="L8" s="28">
        <f t="shared" si="4"/>
        <v>100.71662865863711</v>
      </c>
      <c r="M8" s="27">
        <v>23907.929387755103</v>
      </c>
      <c r="N8" s="28">
        <f t="shared" si="5"/>
        <v>105.7723865044419</v>
      </c>
      <c r="O8" s="27">
        <v>24309.146530612237</v>
      </c>
      <c r="P8" s="28">
        <f t="shared" si="6"/>
        <v>101.67817604088552</v>
      </c>
      <c r="Q8" s="28">
        <f t="shared" si="7"/>
        <v>140.41338428341615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 ЛПУ</vt:lpstr>
      <vt:lpstr>Свод категории</vt:lpstr>
      <vt:lpstr>'Свод ЛПУ'!Заголовки_для_печати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2019-05-28T10:09:27Z</dcterms:modified>
</cp:coreProperties>
</file>